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ЦяКнига"/>
  <bookViews>
    <workbookView xWindow="240" yWindow="255" windowWidth="15060" windowHeight="7290" tabRatio="437"/>
  </bookViews>
  <sheets>
    <sheet name="result" sheetId="63" r:id="rId1"/>
    <sheet name="calc_step_1" sheetId="62" state="veryHidden" r:id="rId2"/>
    <sheet name="calc_step_2" sheetId="40" state="veryHidden" r:id="rId3"/>
    <sheet name="fold_calc" sheetId="41" state="veryHidden" r:id="rId4"/>
    <sheet name="material_list" sheetId="42" state="veryHidden" r:id="rId5"/>
  </sheets>
  <definedNames>
    <definedName name="_xlnm._FilterDatabase" localSheetId="4" hidden="1">material_list!$A$1:$E$1</definedName>
    <definedName name="flap_material">material_list!$E$2:$E$6</definedName>
    <definedName name="gaps">calc_step_2!#REF!</definedName>
    <definedName name="GP_incl._VAT">#REF!</definedName>
    <definedName name="KH">calc_step_2!$A$3:$A$12</definedName>
    <definedName name="KH_list">#REF!</definedName>
    <definedName name="зазори">#REF!</definedName>
    <definedName name="_xlnm.Print_Area" localSheetId="0">result!$B$4:$V$44</definedName>
    <definedName name="товщина_корпусу">#REF!</definedName>
  </definedNames>
  <calcPr calcId="145621"/>
</workbook>
</file>

<file path=xl/calcChain.xml><?xml version="1.0" encoding="utf-8"?>
<calcChain xmlns="http://schemas.openxmlformats.org/spreadsheetml/2006/main">
  <c r="J2" i="40" l="1"/>
  <c r="J3" i="40"/>
  <c r="J4" i="40"/>
  <c r="J5" i="40"/>
  <c r="J6" i="40"/>
  <c r="J7" i="40"/>
  <c r="J8" i="40"/>
  <c r="J9" i="40"/>
  <c r="J10" i="40"/>
  <c r="J11" i="40"/>
  <c r="J12" i="40"/>
  <c r="A23" i="40" l="1"/>
  <c r="D6" i="41"/>
  <c r="D5" i="41"/>
  <c r="D4" i="41"/>
  <c r="D3" i="41"/>
  <c r="D2" i="41"/>
  <c r="B22" i="41" l="1"/>
  <c r="S22" i="41" s="1"/>
  <c r="B32" i="41"/>
  <c r="S32" i="41" s="1"/>
  <c r="T32" i="41" s="1"/>
  <c r="B42" i="41"/>
  <c r="S42" i="41" s="1"/>
  <c r="B17" i="41"/>
  <c r="S17" i="41" s="1"/>
  <c r="T17" i="41" s="1"/>
  <c r="E5" i="42"/>
  <c r="R32" i="41" l="1"/>
  <c r="Y32" i="41" s="1"/>
  <c r="R22" i="41"/>
  <c r="X22" i="41" s="1"/>
  <c r="V22" i="41"/>
  <c r="T22" i="41"/>
  <c r="U22" i="41"/>
  <c r="R17" i="41"/>
  <c r="X17" i="41" s="1"/>
  <c r="R42" i="41"/>
  <c r="T42" i="41"/>
  <c r="V42" i="41"/>
  <c r="U42" i="41"/>
  <c r="X32" i="41"/>
  <c r="A21" i="62"/>
  <c r="A19" i="62"/>
  <c r="I12" i="41"/>
  <c r="I11" i="41"/>
  <c r="K40" i="41"/>
  <c r="J40" i="41"/>
  <c r="I40" i="41"/>
  <c r="K37" i="41"/>
  <c r="J37" i="41"/>
  <c r="I37" i="41"/>
  <c r="K34" i="41"/>
  <c r="J34" i="41"/>
  <c r="I34" i="41"/>
  <c r="K29" i="41"/>
  <c r="J29" i="41"/>
  <c r="I29" i="41"/>
  <c r="K44" i="41"/>
  <c r="J44" i="41"/>
  <c r="I44" i="41"/>
  <c r="K12" i="41"/>
  <c r="K13" i="41"/>
  <c r="K14" i="41"/>
  <c r="K15" i="41"/>
  <c r="K16" i="41"/>
  <c r="K18" i="41"/>
  <c r="K19" i="41"/>
  <c r="K20" i="41"/>
  <c r="K21" i="41"/>
  <c r="K23" i="41"/>
  <c r="K24" i="41"/>
  <c r="K25" i="41"/>
  <c r="K26" i="41"/>
  <c r="K27" i="41"/>
  <c r="K28" i="41"/>
  <c r="K30" i="41"/>
  <c r="K31" i="41"/>
  <c r="K33" i="41"/>
  <c r="K35" i="41"/>
  <c r="K36" i="41"/>
  <c r="K38" i="41"/>
  <c r="K39" i="41"/>
  <c r="K41" i="41"/>
  <c r="K43" i="41"/>
  <c r="K11" i="41"/>
  <c r="E2" i="42"/>
  <c r="E3" i="42"/>
  <c r="E4" i="42"/>
  <c r="E6" i="42"/>
  <c r="J12" i="41"/>
  <c r="J13" i="41"/>
  <c r="J14" i="41"/>
  <c r="J15" i="41"/>
  <c r="J16" i="41"/>
  <c r="J18" i="41"/>
  <c r="J19" i="41"/>
  <c r="J20" i="41"/>
  <c r="J21" i="41"/>
  <c r="J23" i="41"/>
  <c r="J24" i="41"/>
  <c r="J25" i="41"/>
  <c r="J26" i="41"/>
  <c r="J27" i="41"/>
  <c r="J28" i="41"/>
  <c r="J30" i="41"/>
  <c r="J31" i="41"/>
  <c r="J33" i="41"/>
  <c r="J35" i="41"/>
  <c r="J36" i="41"/>
  <c r="J38" i="41"/>
  <c r="J39" i="41"/>
  <c r="J41" i="41"/>
  <c r="J43" i="41"/>
  <c r="I13" i="41"/>
  <c r="I14" i="41"/>
  <c r="I15" i="41"/>
  <c r="I16" i="41"/>
  <c r="I18" i="41"/>
  <c r="I19" i="41"/>
  <c r="I20" i="41"/>
  <c r="I21" i="41"/>
  <c r="I23" i="41"/>
  <c r="I24" i="41"/>
  <c r="I25" i="41"/>
  <c r="I26" i="41"/>
  <c r="I27" i="41"/>
  <c r="I28" i="41"/>
  <c r="I30" i="41"/>
  <c r="I31" i="41"/>
  <c r="I33" i="41"/>
  <c r="I35" i="41"/>
  <c r="I36" i="41"/>
  <c r="I38" i="41"/>
  <c r="I39" i="41"/>
  <c r="I41" i="41"/>
  <c r="I43" i="41"/>
  <c r="J11" i="41"/>
  <c r="W32" i="41" l="1"/>
  <c r="W22" i="41"/>
  <c r="Y22" i="41"/>
  <c r="W17" i="41"/>
  <c r="Y17" i="41"/>
  <c r="X42" i="41"/>
  <c r="W42" i="41"/>
  <c r="Y42" i="41"/>
  <c r="B40" i="41"/>
  <c r="S40" i="41" s="1"/>
  <c r="U40" i="41" s="1"/>
  <c r="B37" i="41"/>
  <c r="S37" i="41" s="1"/>
  <c r="B35" i="41"/>
  <c r="S35" i="41" s="1"/>
  <c r="U35" i="41" s="1"/>
  <c r="V35" i="41" s="1"/>
  <c r="B24" i="41"/>
  <c r="S24" i="41" s="1"/>
  <c r="U24" i="41" s="1"/>
  <c r="B13" i="41"/>
  <c r="S13" i="41" s="1"/>
  <c r="B27" i="41"/>
  <c r="S27" i="41" s="1"/>
  <c r="R27" i="41" s="1"/>
  <c r="X27" i="41" s="1"/>
  <c r="B36" i="41"/>
  <c r="S36" i="41" s="1"/>
  <c r="T36" i="41" s="1"/>
  <c r="B25" i="41"/>
  <c r="S25" i="41" s="1"/>
  <c r="B23" i="41"/>
  <c r="S23" i="41" s="1"/>
  <c r="T23" i="41" s="1"/>
  <c r="B14" i="41"/>
  <c r="S14" i="41" s="1"/>
  <c r="R14" i="41" s="1"/>
  <c r="Y14" i="41" s="1"/>
  <c r="B19" i="41"/>
  <c r="S19" i="41" s="1"/>
  <c r="U19" i="41" s="1"/>
  <c r="B12" i="41"/>
  <c r="S12" i="41" s="1"/>
  <c r="R12" i="41" s="1"/>
  <c r="X12" i="41" s="1"/>
  <c r="B39" i="41"/>
  <c r="S39" i="41" s="1"/>
  <c r="U39" i="41" s="1"/>
  <c r="B18" i="41"/>
  <c r="S18" i="41" s="1"/>
  <c r="U18" i="41" s="1"/>
  <c r="B16" i="41"/>
  <c r="S16" i="41" s="1"/>
  <c r="U16" i="41" s="1"/>
  <c r="B29" i="41"/>
  <c r="S29" i="41" s="1"/>
  <c r="U29" i="41" s="1"/>
  <c r="B44" i="41"/>
  <c r="S44" i="41" s="1"/>
  <c r="R44" i="41" s="1"/>
  <c r="Y44" i="41" s="1"/>
  <c r="B11" i="41"/>
  <c r="S11" i="41" s="1"/>
  <c r="R11" i="41" s="1"/>
  <c r="Y11" i="41" s="1"/>
  <c r="B43" i="41"/>
  <c r="S43" i="41" s="1"/>
  <c r="R43" i="41" s="1"/>
  <c r="Y43" i="41" s="1"/>
  <c r="B41" i="41"/>
  <c r="S41" i="41" s="1"/>
  <c r="R41" i="41" s="1"/>
  <c r="B34" i="41"/>
  <c r="S34" i="41" s="1"/>
  <c r="R34" i="41" s="1"/>
  <c r="Y34" i="41" s="1"/>
  <c r="B30" i="41"/>
  <c r="S30" i="41" s="1"/>
  <c r="T30" i="41" s="1"/>
  <c r="B26" i="41"/>
  <c r="S26" i="41" s="1"/>
  <c r="R26" i="41" s="1"/>
  <c r="X26" i="41" s="1"/>
  <c r="B28" i="41"/>
  <c r="S28" i="41" s="1"/>
  <c r="T28" i="41" s="1"/>
  <c r="B20" i="41"/>
  <c r="S20" i="41" s="1"/>
  <c r="U20" i="41" s="1"/>
  <c r="V20" i="41" s="1"/>
  <c r="B21" i="41"/>
  <c r="S21" i="41" s="1"/>
  <c r="T21" i="41" s="1"/>
  <c r="B33" i="41"/>
  <c r="S33" i="41" s="1"/>
  <c r="B38" i="41"/>
  <c r="S38" i="41" s="1"/>
  <c r="T38" i="41" s="1"/>
  <c r="B31" i="41"/>
  <c r="S31" i="41" s="1"/>
  <c r="U31" i="41" s="1"/>
  <c r="B15" i="41"/>
  <c r="S15" i="41" s="1"/>
  <c r="R15" i="41" s="1"/>
  <c r="X15" i="41" s="1"/>
  <c r="U27" i="41" l="1"/>
  <c r="V27" i="41" s="1"/>
  <c r="U33" i="41"/>
  <c r="V33" i="41" s="1"/>
  <c r="T18" i="41"/>
  <c r="T27" i="41"/>
  <c r="R21" i="41"/>
  <c r="Y21" i="41" s="1"/>
  <c r="V18" i="41"/>
  <c r="R31" i="41"/>
  <c r="Y31" i="41" s="1"/>
  <c r="T14" i="41"/>
  <c r="R30" i="41"/>
  <c r="Y30" i="41" s="1"/>
  <c r="X14" i="41"/>
  <c r="U14" i="41"/>
  <c r="V14" i="41" s="1"/>
  <c r="T20" i="41"/>
  <c r="R23" i="41"/>
  <c r="Y23" i="41" s="1"/>
  <c r="T13" i="41"/>
  <c r="R40" i="41"/>
  <c r="Y40" i="41" s="1"/>
  <c r="T44" i="41"/>
  <c r="T39" i="41"/>
  <c r="V40" i="41"/>
  <c r="R38" i="41"/>
  <c r="Y38" i="41" s="1"/>
  <c r="R39" i="41"/>
  <c r="Y39" i="41" s="1"/>
  <c r="R13" i="41"/>
  <c r="Y13" i="41" s="1"/>
  <c r="W44" i="41"/>
  <c r="T40" i="41"/>
  <c r="U13" i="41"/>
  <c r="V13" i="41" s="1"/>
  <c r="U34" i="41"/>
  <c r="V34" i="41" s="1"/>
  <c r="X44" i="41"/>
  <c r="U38" i="41"/>
  <c r="V39" i="41"/>
  <c r="U44" i="41"/>
  <c r="V44" i="41" s="1"/>
  <c r="U23" i="41"/>
  <c r="V23" i="41" s="1"/>
  <c r="T34" i="41"/>
  <c r="V38" i="41"/>
  <c r="R20" i="41"/>
  <c r="Y20" i="41" s="1"/>
  <c r="T31" i="41"/>
  <c r="T11" i="41"/>
  <c r="U37" i="41"/>
  <c r="V37" i="41" s="1"/>
  <c r="U21" i="41"/>
  <c r="V21" i="41" s="1"/>
  <c r="R37" i="41"/>
  <c r="Y37" i="41" s="1"/>
  <c r="U11" i="41"/>
  <c r="T16" i="41"/>
  <c r="W14" i="41"/>
  <c r="U30" i="41"/>
  <c r="V30" i="41" s="1"/>
  <c r="V11" i="41"/>
  <c r="V16" i="41"/>
  <c r="R35" i="41"/>
  <c r="Y35" i="41" s="1"/>
  <c r="T35" i="41"/>
  <c r="R16" i="41"/>
  <c r="Y16" i="41" s="1"/>
  <c r="R36" i="41"/>
  <c r="W36" i="41" s="1"/>
  <c r="T15" i="41"/>
  <c r="Y15" i="41"/>
  <c r="W15" i="41"/>
  <c r="U36" i="41"/>
  <c r="V36" i="41" s="1"/>
  <c r="V15" i="41"/>
  <c r="W43" i="41"/>
  <c r="T26" i="41"/>
  <c r="U15" i="41"/>
  <c r="T19" i="41"/>
  <c r="X43" i="41"/>
  <c r="T43" i="41"/>
  <c r="U26" i="41"/>
  <c r="V26" i="41" s="1"/>
  <c r="R19" i="41"/>
  <c r="T37" i="41"/>
  <c r="V19" i="41"/>
  <c r="V31" i="41"/>
  <c r="R18" i="41"/>
  <c r="X18" i="41" s="1"/>
  <c r="U43" i="41"/>
  <c r="V43" i="41" s="1"/>
  <c r="T24" i="41"/>
  <c r="R33" i="41"/>
  <c r="W33" i="41" s="1"/>
  <c r="X11" i="41"/>
  <c r="R24" i="41"/>
  <c r="Y24" i="41" s="1"/>
  <c r="T41" i="41"/>
  <c r="W11" i="41"/>
  <c r="Y12" i="41"/>
  <c r="U41" i="41"/>
  <c r="V41" i="41" s="1"/>
  <c r="T25" i="41"/>
  <c r="V24" i="41"/>
  <c r="U12" i="41"/>
  <c r="V12" i="41" s="1"/>
  <c r="W12" i="41"/>
  <c r="Y41" i="41"/>
  <c r="W41" i="41"/>
  <c r="W26" i="41"/>
  <c r="R29" i="41"/>
  <c r="W29" i="41" s="1"/>
  <c r="T12" i="41"/>
  <c r="Y26" i="41"/>
  <c r="R25" i="41"/>
  <c r="V29" i="41"/>
  <c r="T33" i="41"/>
  <c r="T29" i="41"/>
  <c r="R28" i="41"/>
  <c r="Y28" i="41" s="1"/>
  <c r="U28" i="41"/>
  <c r="V28" i="41" s="1"/>
  <c r="U25" i="41"/>
  <c r="V25" i="41" s="1"/>
  <c r="X41" i="41"/>
  <c r="W34" i="41"/>
  <c r="W27" i="41"/>
  <c r="X34" i="41"/>
  <c r="Y27" i="41"/>
  <c r="C2" i="62" l="1"/>
  <c r="B2" i="62"/>
  <c r="W21" i="41"/>
  <c r="X30" i="41"/>
  <c r="X21" i="41"/>
  <c r="X40" i="41"/>
  <c r="W23" i="41"/>
  <c r="X23" i="41"/>
  <c r="Y36" i="41"/>
  <c r="W40" i="41"/>
  <c r="W30" i="41"/>
  <c r="W31" i="41"/>
  <c r="X31" i="41"/>
  <c r="X38" i="41"/>
  <c r="W38" i="41"/>
  <c r="W37" i="41"/>
  <c r="X20" i="41"/>
  <c r="X13" i="41"/>
  <c r="X36" i="41"/>
  <c r="W20" i="41"/>
  <c r="W39" i="41"/>
  <c r="X39" i="41"/>
  <c r="W13" i="41"/>
  <c r="W35" i="41"/>
  <c r="X33" i="41"/>
  <c r="X35" i="41"/>
  <c r="X37" i="41"/>
  <c r="X28" i="41"/>
  <c r="W16" i="41"/>
  <c r="X16" i="41"/>
  <c r="Y33" i="41"/>
  <c r="X29" i="41"/>
  <c r="Y18" i="41"/>
  <c r="W28" i="41"/>
  <c r="W18" i="41"/>
  <c r="Y19" i="41"/>
  <c r="W19" i="41"/>
  <c r="X19" i="41"/>
  <c r="X24" i="41"/>
  <c r="B7" i="62"/>
  <c r="Y29" i="41"/>
  <c r="W24" i="41"/>
  <c r="C3" i="62"/>
  <c r="C9" i="62"/>
  <c r="G6" i="62"/>
  <c r="B9" i="62"/>
  <c r="E7" i="62"/>
  <c r="G7" i="62"/>
  <c r="E6" i="62"/>
  <c r="G8" i="62"/>
  <c r="F8" i="62"/>
  <c r="E8" i="62"/>
  <c r="B5" i="62"/>
  <c r="E5" i="62"/>
  <c r="C7" i="62"/>
  <c r="E4" i="62"/>
  <c r="F7" i="62"/>
  <c r="C6" i="62"/>
  <c r="B6" i="62"/>
  <c r="C4" i="62"/>
  <c r="F9" i="62"/>
  <c r="G9" i="62"/>
  <c r="C5" i="62"/>
  <c r="F5" i="62"/>
  <c r="C8" i="62"/>
  <c r="F4" i="62"/>
  <c r="B4" i="62"/>
  <c r="F6" i="62"/>
  <c r="B8" i="62"/>
  <c r="E9" i="62"/>
  <c r="B3" i="62"/>
  <c r="Y25" i="41"/>
  <c r="W25" i="41"/>
  <c r="X25" i="41"/>
  <c r="D4" i="62" l="1" a="1"/>
  <c r="D4" i="62" s="1"/>
  <c r="G2" i="62"/>
  <c r="G5" i="62"/>
  <c r="D3" i="62" a="1"/>
  <c r="D3" i="62" s="1"/>
  <c r="G4" i="62"/>
  <c r="D8" i="62" a="1"/>
  <c r="D8" i="62" s="1"/>
  <c r="D6" i="62" a="1"/>
  <c r="D6" i="62" s="1"/>
  <c r="D2" i="62" a="1"/>
  <c r="D2" i="62" s="1"/>
  <c r="D9" i="62" a="1"/>
  <c r="D9" i="62" s="1"/>
  <c r="D5" i="62" a="1"/>
  <c r="D5" i="62" s="1"/>
  <c r="D7" i="62" a="1"/>
  <c r="D7" i="62" s="1"/>
  <c r="G3" i="62"/>
  <c r="H3" i="62" l="1"/>
  <c r="H4" i="62"/>
  <c r="H2" i="62"/>
  <c r="H5" i="62"/>
  <c r="H6" i="62"/>
  <c r="H7" i="62"/>
  <c r="H8" i="62"/>
  <c r="H9" i="62"/>
  <c r="C23" i="63" l="1"/>
  <c r="A17" i="40"/>
  <c r="C26" i="63" l="1"/>
  <c r="C24" i="63"/>
  <c r="C25" i="63"/>
  <c r="B14" i="40"/>
  <c r="A19" i="40" s="1"/>
  <c r="C17" i="40"/>
  <c r="C23" i="40" s="1"/>
  <c r="C31" i="63" s="1"/>
  <c r="F17" i="40"/>
  <c r="F18" i="40" s="1"/>
  <c r="H17" i="40"/>
  <c r="H18" i="40" s="1"/>
  <c r="G17" i="40"/>
  <c r="G19" i="40" s="1"/>
  <c r="E17" i="40"/>
  <c r="E23" i="40" s="1"/>
  <c r="C33" i="63" s="1"/>
  <c r="I17" i="40"/>
  <c r="I19" i="40" s="1"/>
  <c r="B17" i="40"/>
  <c r="B18" i="40" s="1"/>
  <c r="D17" i="40"/>
  <c r="D23" i="40" s="1"/>
  <c r="C32" i="63" s="1"/>
  <c r="A18" i="40" l="1"/>
  <c r="H19" i="40"/>
  <c r="H20" i="40" s="1"/>
  <c r="F19" i="40"/>
  <c r="I18" i="40"/>
  <c r="B19" i="40"/>
  <c r="B20" i="40" s="1"/>
  <c r="G18" i="40"/>
  <c r="A22" i="40" l="1"/>
  <c r="J22" i="41" s="1"/>
  <c r="A20" i="40"/>
  <c r="B21" i="40" s="1"/>
  <c r="I20" i="40"/>
  <c r="G20" i="40"/>
  <c r="F20" i="40"/>
  <c r="K22" i="41" l="1"/>
  <c r="I22" i="41"/>
  <c r="I42" i="41"/>
  <c r="J42" i="41"/>
  <c r="K42" i="41"/>
  <c r="K32" i="41"/>
  <c r="I32" i="41"/>
  <c r="J32" i="41"/>
  <c r="J17" i="41"/>
  <c r="I17" i="41"/>
  <c r="K17" i="41"/>
  <c r="B22" i="40"/>
  <c r="B23" i="40" s="1"/>
  <c r="C34" i="63" s="1"/>
  <c r="F21" i="40"/>
  <c r="F22" i="40" s="1"/>
  <c r="F23" i="40" s="1"/>
  <c r="C35" i="63" s="1"/>
  <c r="G21" i="40"/>
  <c r="G22" i="40" s="1"/>
  <c r="G23" i="40" s="1"/>
  <c r="C36" i="63" s="1"/>
  <c r="I21" i="40"/>
  <c r="I22" i="40" s="1"/>
  <c r="I23" i="40" s="1"/>
  <c r="C38" i="63" s="1"/>
  <c r="H21" i="40"/>
  <c r="H22" i="40" s="1"/>
  <c r="H23" i="40" s="1"/>
  <c r="C37" i="63" s="1"/>
  <c r="U32" i="41" l="1"/>
  <c r="U17" i="41"/>
  <c r="V17" i="41" s="1"/>
  <c r="F2" i="62" s="1"/>
  <c r="C30" i="63" s="1"/>
  <c r="V32" i="41" l="1"/>
  <c r="F3" i="62" s="1"/>
  <c r="E3" i="62"/>
  <c r="E2" i="62"/>
  <c r="C29" i="63" s="1"/>
</calcChain>
</file>

<file path=xl/sharedStrings.xml><?xml version="1.0" encoding="utf-8"?>
<sst xmlns="http://schemas.openxmlformats.org/spreadsheetml/2006/main" count="379" uniqueCount="321">
  <si>
    <t>372.37.510</t>
  </si>
  <si>
    <t>372.37.710</t>
  </si>
  <si>
    <t>372.37.512</t>
  </si>
  <si>
    <t>372.37.513</t>
  </si>
  <si>
    <t>372.37.520</t>
  </si>
  <si>
    <t>372.37.522</t>
  </si>
  <si>
    <t>372.37.523</t>
  </si>
  <si>
    <t>372.37.720</t>
  </si>
  <si>
    <t>372.37.722</t>
  </si>
  <si>
    <t>372.37.723</t>
  </si>
  <si>
    <t>372.37.712</t>
  </si>
  <si>
    <t>372.37.713</t>
  </si>
  <si>
    <t>372.37.530</t>
  </si>
  <si>
    <t>372.37.532</t>
  </si>
  <si>
    <t>372.37.533</t>
  </si>
  <si>
    <t>372.37.534</t>
  </si>
  <si>
    <t>372.37.542</t>
  </si>
  <si>
    <t>372.37.543</t>
  </si>
  <si>
    <t>372.37.544</t>
  </si>
  <si>
    <t>372.37.552</t>
  </si>
  <si>
    <t>372.37.553</t>
  </si>
  <si>
    <t>372.37.554</t>
  </si>
  <si>
    <t>372.37.563</t>
  </si>
  <si>
    <t>372.37.564</t>
  </si>
  <si>
    <t>372.37.573</t>
  </si>
  <si>
    <t>372.37.574</t>
  </si>
  <si>
    <t>372.37.583</t>
  </si>
  <si>
    <t>372.37.584</t>
  </si>
  <si>
    <t>372.37.593</t>
  </si>
  <si>
    <t>372.37.594</t>
  </si>
  <si>
    <t>372.37.599</t>
  </si>
  <si>
    <t>372.37.730</t>
  </si>
  <si>
    <t>372.37.732</t>
  </si>
  <si>
    <t>372.37.733</t>
  </si>
  <si>
    <t>372.37.734</t>
  </si>
  <si>
    <t>372.37.742</t>
  </si>
  <si>
    <t>372.37.743</t>
  </si>
  <si>
    <t>372.37.744</t>
  </si>
  <si>
    <t>372.37.752</t>
  </si>
  <si>
    <t>372.37.753</t>
  </si>
  <si>
    <t>372.37.754</t>
  </si>
  <si>
    <t>372.37.763</t>
  </si>
  <si>
    <t>372.37.764</t>
  </si>
  <si>
    <t>372.37.773</t>
  </si>
  <si>
    <t>372.37.774</t>
  </si>
  <si>
    <t>372.37.783</t>
  </si>
  <si>
    <t>372.37.784</t>
  </si>
  <si>
    <t>372.37.793</t>
  </si>
  <si>
    <t>372.37.794</t>
  </si>
  <si>
    <t>372.37.799</t>
  </si>
  <si>
    <t>480–530</t>
  </si>
  <si>
    <t>520–590</t>
  </si>
  <si>
    <t>580–650</t>
  </si>
  <si>
    <t>650–730</t>
  </si>
  <si>
    <t>710–790</t>
  </si>
  <si>
    <t>770–840</t>
  </si>
  <si>
    <t>840–910</t>
  </si>
  <si>
    <t>910–970</t>
  </si>
  <si>
    <t>960–1010</t>
  </si>
  <si>
    <t>1000–1040</t>
  </si>
  <si>
    <t>Модель</t>
  </si>
  <si>
    <t>сірі заглушки</t>
  </si>
  <si>
    <t>білі заглушки</t>
  </si>
  <si>
    <t>5,2–10,3</t>
  </si>
  <si>
    <t>2,6–5,2</t>
  </si>
  <si>
    <t>5,2–10,6</t>
  </si>
  <si>
    <t>7,8–15,1</t>
  </si>
  <si>
    <t>2,4–4,9</t>
  </si>
  <si>
    <t>4,8–9,8</t>
  </si>
  <si>
    <t>7,2–14,1</t>
  </si>
  <si>
    <t>2,2–4,4</t>
  </si>
  <si>
    <t>4,3–8,8</t>
  </si>
  <si>
    <t>6,0–12,2</t>
  </si>
  <si>
    <t>10,6–20,9</t>
  </si>
  <si>
    <t>3,9–7,9</t>
  </si>
  <si>
    <t>5,8–11,6</t>
  </si>
  <si>
    <t>9,5–18,7</t>
  </si>
  <si>
    <t>3,5–7,2</t>
  </si>
  <si>
    <t>8,7–17,2</t>
  </si>
  <si>
    <t>4,9–9,8</t>
  </si>
  <si>
    <t>8,0–15,5</t>
  </si>
  <si>
    <t>4,5–9,0</t>
  </si>
  <si>
    <t>7,3–14,6</t>
  </si>
  <si>
    <t>4,2–8,0</t>
  </si>
  <si>
    <t>3,9–7,6</t>
  </si>
  <si>
    <t>6,5–12,8</t>
  </si>
  <si>
    <t>6,2–12,3</t>
  </si>
  <si>
    <t>Коментар</t>
  </si>
  <si>
    <t>ціна</t>
  </si>
  <si>
    <t>A1</t>
  </si>
  <si>
    <t>β</t>
  </si>
  <si>
    <t>Q</t>
  </si>
  <si>
    <t>R</t>
  </si>
  <si>
    <t>S</t>
  </si>
  <si>
    <t>T</t>
  </si>
  <si>
    <t>U</t>
  </si>
  <si>
    <t>V</t>
  </si>
  <si>
    <t>W</t>
  </si>
  <si>
    <t>100–37</t>
  </si>
  <si>
    <t>100–155</t>
  </si>
  <si>
    <t>203–186</t>
  </si>
  <si>
    <t>328–370</t>
  </si>
  <si>
    <t>106–23</t>
  </si>
  <si>
    <t>112–184</t>
  </si>
  <si>
    <t>213–190</t>
  </si>
  <si>
    <t>347–401</t>
  </si>
  <si>
    <t>119–40</t>
  </si>
  <si>
    <t>126–197</t>
  </si>
  <si>
    <t>227–207</t>
  </si>
  <si>
    <t>375–430</t>
  </si>
  <si>
    <t>124–38</t>
  </si>
  <si>
    <t>147–224</t>
  </si>
  <si>
    <t>238–215</t>
  </si>
  <si>
    <t>411–470</t>
  </si>
  <si>
    <t>136–46</t>
  </si>
  <si>
    <t>161–233</t>
  </si>
  <si>
    <t>250–219</t>
  </si>
  <si>
    <t>439–500</t>
  </si>
  <si>
    <t>146–43</t>
  </si>
  <si>
    <t>179–223</t>
  </si>
  <si>
    <t>267–200</t>
  </si>
  <si>
    <t>466–527</t>
  </si>
  <si>
    <t>154–70</t>
  </si>
  <si>
    <t>195–248</t>
  </si>
  <si>
    <t>272–231</t>
  </si>
  <si>
    <t>502–559</t>
  </si>
  <si>
    <t>160–78</t>
  </si>
  <si>
    <t>214–246</t>
  </si>
  <si>
    <t>282–225</t>
  </si>
  <si>
    <t>536–588</t>
  </si>
  <si>
    <t>170–99</t>
  </si>
  <si>
    <t>228–251</t>
  </si>
  <si>
    <t>295–240</t>
  </si>
  <si>
    <t>560–605</t>
  </si>
  <si>
    <t>177–120</t>
  </si>
  <si>
    <t>239–256</t>
  </si>
  <si>
    <t>306–256</t>
  </si>
  <si>
    <t>578–616</t>
  </si>
  <si>
    <t>висота корпусу</t>
  </si>
  <si>
    <t>Y</t>
  </si>
  <si>
    <t>94–49</t>
  </si>
  <si>
    <t>93–128</t>
  </si>
  <si>
    <t>196–180</t>
  </si>
  <si>
    <t>315–343</t>
  </si>
  <si>
    <t>KH</t>
  </si>
  <si>
    <t>6,8–13,5</t>
  </si>
  <si>
    <t>МДФ</t>
  </si>
  <si>
    <t>Скло</t>
  </si>
  <si>
    <t>500–800</t>
  </si>
  <si>
    <t>600–900</t>
  </si>
  <si>
    <t>ДСП</t>
  </si>
  <si>
    <t>620–750</t>
  </si>
  <si>
    <t>KGmax</t>
  </si>
  <si>
    <t>KGmin</t>
  </si>
  <si>
    <t>FW</t>
  </si>
  <si>
    <t>Kg, m3</t>
  </si>
  <si>
    <t>Тип матеріалу фасаду</t>
  </si>
  <si>
    <t>KG</t>
  </si>
  <si>
    <t>FW (кг)</t>
  </si>
  <si>
    <t>X</t>
  </si>
  <si>
    <t>індекс</t>
  </si>
  <si>
    <t>Y (мм)</t>
  </si>
  <si>
    <t>X (мм)</t>
  </si>
  <si>
    <t>C1fo</t>
  </si>
  <si>
    <t>C3fo</t>
  </si>
  <si>
    <t>C4fo</t>
  </si>
  <si>
    <t>D1fo</t>
  </si>
  <si>
    <t>D3fo</t>
  </si>
  <si>
    <t>D4fo</t>
  </si>
  <si>
    <t>E1fo</t>
  </si>
  <si>
    <t>E3fo</t>
  </si>
  <si>
    <t>E4fo</t>
  </si>
  <si>
    <t>E5fo</t>
  </si>
  <si>
    <t>F3fo</t>
  </si>
  <si>
    <t>F4fo</t>
  </si>
  <si>
    <t>F5fo</t>
  </si>
  <si>
    <t>G3fo</t>
  </si>
  <si>
    <t>G4fo</t>
  </si>
  <si>
    <t>G5fo</t>
  </si>
  <si>
    <t>H4fo</t>
  </si>
  <si>
    <t>H5fo</t>
  </si>
  <si>
    <t>I4fo</t>
  </si>
  <si>
    <t>I5fo</t>
  </si>
  <si>
    <t>J4fo</t>
  </si>
  <si>
    <t>J5fo</t>
  </si>
  <si>
    <t>K4fo</t>
  </si>
  <si>
    <t>K5fo</t>
  </si>
  <si>
    <t>L5fo</t>
  </si>
  <si>
    <t>антрацит</t>
  </si>
  <si>
    <t>Опис</t>
  </si>
  <si>
    <t>model</t>
  </si>
  <si>
    <t>3,2–6,7</t>
  </si>
  <si>
    <t>450–480</t>
  </si>
  <si>
    <t>8,1–16,0</t>
  </si>
  <si>
    <t>372.37.596</t>
  </si>
  <si>
    <t>372.37.796</t>
  </si>
  <si>
    <t>372.37.336</t>
  </si>
  <si>
    <t>L6fo</t>
  </si>
  <si>
    <t>H6fo</t>
  </si>
  <si>
    <t>I6fo</t>
  </si>
  <si>
    <t>10,0–20,0</t>
  </si>
  <si>
    <t>9,50–17,9</t>
  </si>
  <si>
    <t>372.37.575</t>
  </si>
  <si>
    <t>372.37.775</t>
  </si>
  <si>
    <t>372.37.585</t>
  </si>
  <si>
    <t>372.37.785</t>
  </si>
  <si>
    <t>J6fo</t>
  </si>
  <si>
    <t>K6fo</t>
  </si>
  <si>
    <t>372.37.591</t>
  </si>
  <si>
    <t>8,6–17,30</t>
  </si>
  <si>
    <t>KH min</t>
  </si>
  <si>
    <t>KH max</t>
  </si>
  <si>
    <t>FW min</t>
  </si>
  <si>
    <t>FW max</t>
  </si>
  <si>
    <t>SMALL(fx)</t>
  </si>
  <si>
    <t>K top</t>
  </si>
  <si>
    <t>K bottom</t>
  </si>
  <si>
    <t>Вага фасаду</t>
  </si>
  <si>
    <t>Щільність матеріалу фасаду</t>
  </si>
  <si>
    <t>KH (мм)</t>
  </si>
  <si>
    <t>Q2</t>
  </si>
  <si>
    <t>Qmin</t>
  </si>
  <si>
    <t>Qmax</t>
  </si>
  <si>
    <r>
      <t>KH</t>
    </r>
    <r>
      <rPr>
        <vertAlign val="subscript"/>
        <sz val="10"/>
        <rFont val="Consolas"/>
        <family val="3"/>
        <charset val="204"/>
      </rPr>
      <t>2</t>
    </r>
  </si>
  <si>
    <r>
      <t>FW</t>
    </r>
    <r>
      <rPr>
        <vertAlign val="subscript"/>
        <sz val="10"/>
        <rFont val="Consolas"/>
        <family val="3"/>
        <charset val="204"/>
      </rPr>
      <t>2</t>
    </r>
  </si>
  <si>
    <t>107–98</t>
  </si>
  <si>
    <t>107–96</t>
  </si>
  <si>
    <t>107–93</t>
  </si>
  <si>
    <t>108–95</t>
  </si>
  <si>
    <t>107–94</t>
  </si>
  <si>
    <t>108–98</t>
  </si>
  <si>
    <t>107–100</t>
  </si>
  <si>
    <t>107–102</t>
  </si>
  <si>
    <t>Фанера (береза)</t>
  </si>
  <si>
    <t>Фанера (хвоя)</t>
  </si>
  <si>
    <t>Рекомендована модель</t>
  </si>
  <si>
    <t>Комплект, сірі заглушки</t>
  </si>
  <si>
    <t>Комплект, білі заглушки</t>
  </si>
  <si>
    <t>Комплект, заклушки "Антрацит"</t>
  </si>
  <si>
    <t>372.37.300</t>
  </si>
  <si>
    <t>372.37.301</t>
  </si>
  <si>
    <t>372.37.302</t>
  </si>
  <si>
    <t>372.37.303</t>
  </si>
  <si>
    <t>372.37.304</t>
  </si>
  <si>
    <t>372.37.305</t>
  </si>
  <si>
    <t>372.37.306</t>
  </si>
  <si>
    <t>372.37.307</t>
  </si>
  <si>
    <t>372.37.308</t>
  </si>
  <si>
    <t>372.37.309</t>
  </si>
  <si>
    <t>372.37.310</t>
  </si>
  <si>
    <t>372.37.311</t>
  </si>
  <si>
    <t>372.37.312</t>
  </si>
  <si>
    <t>372.37.313</t>
  </si>
  <si>
    <t>372.37.314</t>
  </si>
  <si>
    <t>372.37.315</t>
  </si>
  <si>
    <t>372.37.316</t>
  </si>
  <si>
    <t>372.37.317</t>
  </si>
  <si>
    <t>372.37.318</t>
  </si>
  <si>
    <t>372.37.319</t>
  </si>
  <si>
    <t>372.37.320</t>
  </si>
  <si>
    <t>372.37.321</t>
  </si>
  <si>
    <t>372.37.322</t>
  </si>
  <si>
    <t>372.37.323</t>
  </si>
  <si>
    <t>372.37.324</t>
  </si>
  <si>
    <t>372.37.332</t>
  </si>
  <si>
    <t>372.37.333</t>
  </si>
  <si>
    <t>372.37.334</t>
  </si>
  <si>
    <t>372.37.335</t>
  </si>
  <si>
    <t>Значення Y (мм)</t>
  </si>
  <si>
    <t>Значення X (мм)</t>
  </si>
  <si>
    <t>Вхідні дані специфікації</t>
  </si>
  <si>
    <t>Параметри планування</t>
  </si>
  <si>
    <t>ID</t>
  </si>
  <si>
    <t>~</t>
  </si>
  <si>
    <t>Висота корпусу (KH, mm)</t>
  </si>
  <si>
    <t>Накладання фасаду (A1, мм)</t>
  </si>
  <si>
    <t>LEN</t>
  </si>
  <si>
    <t>1</t>
  </si>
  <si>
    <t>Верхній зазор (G1, мм)</t>
  </si>
  <si>
    <t>Товщина верхньої панелі (K1, мм)</t>
  </si>
  <si>
    <t>Товщина нижньої панелі (K2, мм)</t>
  </si>
  <si>
    <t>Нижній зазор (G2, мм)</t>
  </si>
  <si>
    <t>Накладання фасаду (A2, мм)</t>
  </si>
  <si>
    <t>Параметри фасаду</t>
  </si>
  <si>
    <t>Параметри корпусу секції</t>
  </si>
  <si>
    <t>Q (мм)</t>
  </si>
  <si>
    <t>R (мм)</t>
  </si>
  <si>
    <t>S (мм)</t>
  </si>
  <si>
    <t>T (мм)</t>
  </si>
  <si>
    <t>U (мм)</t>
  </si>
  <si>
    <t>V (мм)</t>
  </si>
  <si>
    <t>W (мм)</t>
  </si>
  <si>
    <r>
      <t>β (</t>
    </r>
    <r>
      <rPr>
        <sz val="9"/>
        <rFont val="Segoe UI"/>
        <family val="2"/>
        <charset val="204"/>
      </rPr>
      <t>≈</t>
    </r>
    <r>
      <rPr>
        <sz val="9"/>
        <rFont val="Arial"/>
        <family val="2"/>
        <charset val="204"/>
      </rPr>
      <t>)</t>
    </r>
  </si>
  <si>
    <t>Вага ручки (грам)</t>
  </si>
  <si>
    <t>Ширина фасаду (FW, мм)</t>
  </si>
  <si>
    <t>Висота фасаду (FH, мм)</t>
  </si>
  <si>
    <t>Товщина фасаду (T, мм)</t>
  </si>
  <si>
    <t>Це тестова версія програми. Розробник залишає за собою право вносити зміни в специфікації без додаткового попередження</t>
  </si>
  <si>
    <t>11,8–23,30</t>
  </si>
  <si>
    <t>372.37.524</t>
  </si>
  <si>
    <t>372.37.724</t>
  </si>
  <si>
    <t>372.37.328</t>
  </si>
  <si>
    <t>D5fo</t>
  </si>
  <si>
    <t>3,7–7,3</t>
  </si>
  <si>
    <t>372.37.598</t>
  </si>
  <si>
    <t>372.37.798</t>
  </si>
  <si>
    <t>372.37.331</t>
  </si>
  <si>
    <t>L4fo</t>
  </si>
  <si>
    <t>12,5–20,9</t>
  </si>
  <si>
    <t>372.37.565</t>
  </si>
  <si>
    <t>372.37.330</t>
  </si>
  <si>
    <t>3,9–4,0</t>
  </si>
  <si>
    <t>372.37.540</t>
  </si>
  <si>
    <t>372.37.740</t>
  </si>
  <si>
    <t>372.37.329</t>
  </si>
  <si>
    <t>F1fo</t>
  </si>
  <si>
    <t>372.37.562</t>
  </si>
  <si>
    <t>372.37.762</t>
  </si>
  <si>
    <t>372.37.791</t>
  </si>
  <si>
    <t>H3fo</t>
  </si>
  <si>
    <t>Вага відома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</si>
</sst>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_/\м\м"/>
    <numFmt numFmtId="165" formatCode="[$€-2]\ #,##0.00"/>
    <numFmt numFmtId="166" formatCode="#,##0.0"/>
    <numFmt numFmtId="167" formatCode="0.00_/\k\g"/>
    <numFmt numFmtId="168" formatCode="0.00_/\к\г"/>
    <numFmt numFmtId="169" formatCode="0.0%"/>
    <numFmt numFmtId="170" formatCode="#,##0.0_ ;[Red]\-#,##0.0\ "/>
    <numFmt numFmtId="171" formatCode="0&quot; кг/м3&quot;"/>
    <numFmt numFmtId="172" formatCode="0.00_ ;[Red]\-0.00\ "/>
  </numFmts>
  <fonts count="3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ahoma"/>
      <family val="2"/>
      <charset val="204"/>
    </font>
    <font>
      <sz val="10"/>
      <color theme="1" tint="-0.499984740745262"/>
      <name val="Tahoma"/>
      <family val="2"/>
      <charset val="204"/>
    </font>
    <font>
      <b/>
      <sz val="10"/>
      <color theme="1" tint="-0.499984740745262"/>
      <name val="Consolas"/>
      <family val="3"/>
      <charset val="204"/>
    </font>
    <font>
      <b/>
      <sz val="10"/>
      <color rgb="FF0000CC"/>
      <name val="Consolas"/>
      <family val="3"/>
      <charset val="204"/>
    </font>
    <font>
      <sz val="10"/>
      <color theme="1" tint="-0.499984740745262"/>
      <name val="Consolas"/>
      <family val="3"/>
      <charset val="204"/>
    </font>
    <font>
      <sz val="10"/>
      <color rgb="FF0000CC"/>
      <name val="Consolas"/>
      <family val="3"/>
      <charset val="204"/>
    </font>
    <font>
      <b/>
      <sz val="10"/>
      <color theme="0" tint="-0.249977111117893"/>
      <name val="Consolas"/>
      <family val="3"/>
      <charset val="204"/>
    </font>
    <font>
      <sz val="10"/>
      <name val="Consolas"/>
      <family val="3"/>
      <charset val="204"/>
    </font>
    <font>
      <b/>
      <sz val="10"/>
      <name val="Consolas"/>
      <family val="3"/>
      <charset val="204"/>
    </font>
    <font>
      <vertAlign val="subscript"/>
      <sz val="10"/>
      <name val="Consolas"/>
      <family val="3"/>
      <charset val="204"/>
    </font>
    <font>
      <sz val="10"/>
      <color rgb="FFC00000"/>
      <name val="Consolas"/>
      <family val="3"/>
      <charset val="204"/>
    </font>
    <font>
      <b/>
      <sz val="10"/>
      <color rgb="FFC00000"/>
      <name val="Consolas"/>
      <family val="3"/>
      <charset val="204"/>
    </font>
    <font>
      <sz val="10"/>
      <color theme="0"/>
      <name val="Consolas"/>
      <family val="3"/>
      <charset val="204"/>
    </font>
    <font>
      <sz val="10"/>
      <color rgb="FF0070C0"/>
      <name val="Consolas"/>
      <family val="3"/>
      <charset val="204"/>
    </font>
    <font>
      <sz val="10"/>
      <name val="Arial"/>
      <family val="2"/>
      <charset val="204"/>
    </font>
    <font>
      <sz val="10"/>
      <color theme="1" tint="-0.499984740745262"/>
      <name val="Segoe UI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u/>
      <sz val="8"/>
      <name val="Arial"/>
      <family val="2"/>
      <charset val="204"/>
    </font>
    <font>
      <sz val="8"/>
      <color theme="0"/>
      <name val="Arial"/>
      <family val="2"/>
      <charset val="204"/>
    </font>
    <font>
      <b/>
      <sz val="14"/>
      <name val="Arial"/>
      <family val="2"/>
      <charset val="204"/>
    </font>
    <font>
      <b/>
      <sz val="16"/>
      <color theme="1" tint="-0.249977111117893"/>
      <name val="Arial"/>
      <family val="2"/>
      <charset val="204"/>
    </font>
    <font>
      <b/>
      <sz val="8"/>
      <color theme="0"/>
      <name val="Arial"/>
      <family val="2"/>
      <charset val="204"/>
    </font>
    <font>
      <b/>
      <sz val="10"/>
      <color theme="0"/>
      <name val="Arial"/>
      <family val="2"/>
      <charset val="204"/>
    </font>
    <font>
      <sz val="9"/>
      <name val="Arial"/>
      <family val="2"/>
      <charset val="204"/>
    </font>
    <font>
      <u/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color theme="0"/>
      <name val="Arial"/>
      <family val="2"/>
      <charset val="204"/>
    </font>
    <font>
      <b/>
      <sz val="9"/>
      <color theme="0"/>
      <name val="Arial"/>
      <family val="2"/>
      <charset val="204"/>
    </font>
    <font>
      <sz val="9"/>
      <name val="Segoe U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theme="1" tint="-0.499984740745262"/>
      </left>
      <right/>
      <top/>
      <bottom/>
      <diagonal/>
    </border>
    <border>
      <left style="thin">
        <color theme="1" tint="-0.499984740745262"/>
      </left>
      <right style="medium">
        <color theme="1" tint="-0.499984740745262"/>
      </right>
      <top/>
      <bottom/>
      <diagonal/>
    </border>
    <border>
      <left style="medium">
        <color theme="1" tint="-0.499984740745262"/>
      </left>
      <right style="medium">
        <color theme="1" tint="-0.499984740745262"/>
      </right>
      <top/>
      <bottom/>
      <diagonal/>
    </border>
    <border>
      <left/>
      <right/>
      <top/>
      <bottom style="medium">
        <color theme="1" tint="-0.499984740745262"/>
      </bottom>
      <diagonal/>
    </border>
    <border>
      <left style="thin">
        <color theme="1" tint="-0.499984740745262"/>
      </left>
      <right style="medium">
        <color theme="1" tint="-0.499984740745262"/>
      </right>
      <top/>
      <bottom style="medium">
        <color theme="1" tint="-0.499984740745262"/>
      </bottom>
      <diagonal/>
    </border>
    <border>
      <left style="thin">
        <color theme="1" tint="-0.499984740745262"/>
      </left>
      <right/>
      <top/>
      <bottom style="medium">
        <color theme="1" tint="-0.499984740745262"/>
      </bottom>
      <diagonal/>
    </border>
    <border>
      <left style="medium">
        <color theme="1" tint="-0.499984740745262"/>
      </left>
      <right style="medium">
        <color theme="1" tint="-0.499984740745262"/>
      </right>
      <top/>
      <bottom style="medium">
        <color theme="1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1" tint="-0.499984740745262"/>
      </top>
      <bottom/>
      <diagonal/>
    </border>
    <border>
      <left/>
      <right style="thin">
        <color theme="1" tint="-0.499984740745262"/>
      </right>
      <top/>
      <bottom/>
      <diagonal/>
    </border>
    <border>
      <left style="thin">
        <color theme="1" tint="-0.499984740745262"/>
      </left>
      <right/>
      <top/>
      <bottom style="thin">
        <color theme="1" tint="-0.499984740745262"/>
      </bottom>
      <diagonal/>
    </border>
    <border>
      <left/>
      <right style="thin">
        <color theme="1" tint="-0.499984740745262"/>
      </right>
      <top/>
      <bottom style="thin">
        <color theme="1" tint="-0.499984740745262"/>
      </bottom>
      <diagonal/>
    </border>
    <border>
      <left style="thin">
        <color theme="1" tint="-0.499984740745262"/>
      </left>
      <right/>
      <top style="thin">
        <color theme="1" tint="-0.499984740745262"/>
      </top>
      <bottom style="thin">
        <color indexed="64"/>
      </bottom>
      <diagonal/>
    </border>
    <border>
      <left/>
      <right style="thin">
        <color theme="1" tint="-0.499984740745262"/>
      </right>
      <top style="thin">
        <color theme="1" tint="-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0">
    <xf numFmtId="0" fontId="0" fillId="0" borderId="0" xfId="0"/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indent="1"/>
    </xf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 indent="1"/>
    </xf>
    <xf numFmtId="0" fontId="3" fillId="3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 indent="1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 indent="1"/>
    </xf>
    <xf numFmtId="0" fontId="3" fillId="2" borderId="6" xfId="0" applyFont="1" applyFill="1" applyBorder="1" applyAlignment="1">
      <alignment horizontal="center" vertical="center"/>
    </xf>
    <xf numFmtId="0" fontId="8" fillId="3" borderId="0" xfId="0" applyFont="1" applyFill="1" applyBorder="1" applyAlignment="1" applyProtection="1">
      <alignment horizontal="center" vertical="center"/>
      <protection hidden="1"/>
    </xf>
    <xf numFmtId="0" fontId="10" fillId="0" borderId="0" xfId="0" applyFont="1" applyFill="1" applyBorder="1" applyAlignment="1">
      <alignment horizontal="right" vertical="center"/>
    </xf>
    <xf numFmtId="164" fontId="10" fillId="0" borderId="0" xfId="0" applyNumberFormat="1" applyFont="1" applyFill="1" applyBorder="1" applyAlignment="1">
      <alignment horizontal="right" vertical="center"/>
    </xf>
    <xf numFmtId="167" fontId="10" fillId="0" borderId="0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center" vertical="center"/>
    </xf>
    <xf numFmtId="170" fontId="9" fillId="0" borderId="0" xfId="0" applyNumberFormat="1" applyFont="1" applyFill="1" applyBorder="1" applyAlignment="1">
      <alignment horizontal="center" vertical="center"/>
    </xf>
    <xf numFmtId="169" fontId="9" fillId="0" borderId="0" xfId="1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168" fontId="10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1" fontId="10" fillId="0" borderId="0" xfId="0" applyNumberFormat="1" applyFont="1" applyFill="1" applyBorder="1" applyAlignment="1">
      <alignment horizontal="center" vertical="center"/>
    </xf>
    <xf numFmtId="170" fontId="10" fillId="0" borderId="0" xfId="0" applyNumberFormat="1" applyFont="1" applyFill="1" applyBorder="1" applyAlignment="1">
      <alignment horizontal="center" vertical="center"/>
    </xf>
    <xf numFmtId="169" fontId="10" fillId="0" borderId="0" xfId="1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/>
    <xf numFmtId="165" fontId="9" fillId="0" borderId="0" xfId="0" applyNumberFormat="1" applyFont="1" applyFill="1" applyBorder="1" applyAlignment="1" applyProtection="1">
      <alignment horizontal="center" vertical="center"/>
      <protection hidden="1"/>
    </xf>
    <xf numFmtId="170" fontId="9" fillId="0" borderId="0" xfId="0" applyNumberFormat="1" applyFont="1" applyFill="1" applyBorder="1" applyAlignment="1" applyProtection="1">
      <alignment horizontal="center" vertical="center"/>
      <protection hidden="1"/>
    </xf>
    <xf numFmtId="0" fontId="9" fillId="0" borderId="0" xfId="0" applyNumberFormat="1" applyFont="1" applyFill="1" applyBorder="1" applyAlignment="1" applyProtection="1">
      <alignment horizontal="center" vertical="center"/>
      <protection hidden="1"/>
    </xf>
    <xf numFmtId="168" fontId="9" fillId="0" borderId="0" xfId="0" applyNumberFormat="1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170" fontId="9" fillId="0" borderId="0" xfId="0" applyNumberFormat="1" applyFont="1" applyFill="1" applyBorder="1" applyAlignment="1">
      <alignment horizontal="center"/>
    </xf>
    <xf numFmtId="169" fontId="9" fillId="0" borderId="0" xfId="1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14" fillId="4" borderId="0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left" vertical="center" indent="1"/>
    </xf>
    <xf numFmtId="0" fontId="3" fillId="3" borderId="0" xfId="0" applyFont="1" applyFill="1" applyAlignment="1">
      <alignment horizontal="center" vertical="center"/>
    </xf>
    <xf numFmtId="0" fontId="15" fillId="0" borderId="0" xfId="0" applyNumberFormat="1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172" fontId="9" fillId="3" borderId="0" xfId="0" applyNumberFormat="1" applyFont="1" applyFill="1" applyBorder="1" applyAlignment="1">
      <alignment horizontal="center" vertical="center"/>
    </xf>
    <xf numFmtId="10" fontId="9" fillId="3" borderId="0" xfId="1" applyNumberFormat="1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 indent="1"/>
    </xf>
    <xf numFmtId="0" fontId="9" fillId="3" borderId="0" xfId="0" applyFont="1" applyFill="1" applyBorder="1" applyAlignment="1">
      <alignment vertical="center"/>
    </xf>
    <xf numFmtId="0" fontId="9" fillId="3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vertical="center"/>
    </xf>
    <xf numFmtId="0" fontId="16" fillId="3" borderId="0" xfId="0" applyFont="1" applyFill="1" applyBorder="1" applyAlignment="1">
      <alignment vertical="center"/>
    </xf>
    <xf numFmtId="0" fontId="22" fillId="3" borderId="16" xfId="0" applyFont="1" applyFill="1" applyBorder="1" applyAlignment="1">
      <alignment horizontal="left" vertical="center"/>
    </xf>
    <xf numFmtId="0" fontId="16" fillId="3" borderId="16" xfId="0" applyFont="1" applyFill="1" applyBorder="1" applyAlignment="1">
      <alignment vertical="center"/>
    </xf>
    <xf numFmtId="0" fontId="19" fillId="3" borderId="0" xfId="0" applyFont="1" applyFill="1" applyBorder="1" applyAlignment="1">
      <alignment horizontal="left" vertical="center" indent="1"/>
    </xf>
    <xf numFmtId="164" fontId="19" fillId="3" borderId="0" xfId="0" applyNumberFormat="1" applyFont="1" applyFill="1" applyBorder="1" applyAlignment="1">
      <alignment horizontal="left" vertical="center" indent="1"/>
    </xf>
    <xf numFmtId="0" fontId="16" fillId="3" borderId="0" xfId="0" applyNumberFormat="1" applyFont="1" applyFill="1" applyBorder="1" applyAlignment="1">
      <alignment horizontal="left" vertical="center"/>
    </xf>
    <xf numFmtId="0" fontId="16" fillId="3" borderId="0" xfId="0" applyFont="1" applyFill="1" applyBorder="1" applyAlignment="1">
      <alignment horizontal="right" vertical="center" indent="1"/>
    </xf>
    <xf numFmtId="0" fontId="20" fillId="3" borderId="0" xfId="0" applyFont="1" applyFill="1" applyBorder="1" applyAlignment="1">
      <alignment horizontal="left" vertical="center" indent="1"/>
    </xf>
    <xf numFmtId="0" fontId="18" fillId="3" borderId="0" xfId="0" applyFont="1" applyFill="1" applyBorder="1" applyAlignment="1">
      <alignment horizontal="left" vertical="center" indent="1"/>
    </xf>
    <xf numFmtId="2" fontId="18" fillId="3" borderId="0" xfId="0" applyNumberFormat="1" applyFont="1" applyFill="1" applyBorder="1" applyAlignment="1">
      <alignment horizontal="left" vertical="center" indent="1"/>
    </xf>
    <xf numFmtId="0" fontId="18" fillId="3" borderId="0" xfId="0" applyNumberFormat="1" applyFont="1" applyFill="1" applyBorder="1" applyAlignment="1">
      <alignment vertical="center"/>
    </xf>
    <xf numFmtId="0" fontId="19" fillId="3" borderId="0" xfId="0" applyNumberFormat="1" applyFont="1" applyFill="1" applyBorder="1" applyAlignment="1">
      <alignment vertical="center"/>
    </xf>
    <xf numFmtId="0" fontId="21" fillId="3" borderId="0" xfId="0" applyNumberFormat="1" applyFont="1" applyFill="1" applyBorder="1" applyAlignment="1">
      <alignment vertical="center"/>
    </xf>
    <xf numFmtId="0" fontId="19" fillId="3" borderId="0" xfId="0" applyFont="1" applyFill="1" applyBorder="1" applyAlignment="1">
      <alignment vertical="center"/>
    </xf>
    <xf numFmtId="0" fontId="19" fillId="3" borderId="0" xfId="0" applyNumberFormat="1" applyFont="1" applyFill="1" applyBorder="1" applyAlignment="1">
      <alignment horizontal="left" vertical="center" indent="1"/>
    </xf>
    <xf numFmtId="0" fontId="20" fillId="3" borderId="0" xfId="0" applyFont="1" applyFill="1" applyBorder="1" applyAlignment="1">
      <alignment vertical="center"/>
    </xf>
    <xf numFmtId="0" fontId="20" fillId="3" borderId="0" xfId="0" applyFont="1" applyFill="1" applyBorder="1" applyAlignment="1">
      <alignment horizontal="left" vertical="center"/>
    </xf>
    <xf numFmtId="0" fontId="25" fillId="3" borderId="0" xfId="0" applyFont="1" applyFill="1" applyBorder="1" applyAlignment="1">
      <alignment horizontal="left" vertical="center" indent="1"/>
    </xf>
    <xf numFmtId="0" fontId="24" fillId="3" borderId="0" xfId="0" applyNumberFormat="1" applyFont="1" applyFill="1" applyBorder="1" applyAlignment="1">
      <alignment horizontal="left" vertical="center"/>
    </xf>
    <xf numFmtId="0" fontId="19" fillId="3" borderId="0" xfId="0" applyFont="1" applyFill="1" applyBorder="1" applyAlignment="1">
      <alignment horizontal="left" vertical="center"/>
    </xf>
    <xf numFmtId="0" fontId="19" fillId="3" borderId="0" xfId="0" applyNumberFormat="1" applyFont="1" applyFill="1" applyBorder="1" applyAlignment="1">
      <alignment horizontal="left" vertical="center"/>
    </xf>
    <xf numFmtId="164" fontId="26" fillId="3" borderId="21" xfId="0" applyNumberFormat="1" applyFont="1" applyFill="1" applyBorder="1" applyAlignment="1">
      <alignment horizontal="center" vertical="center"/>
    </xf>
    <xf numFmtId="1" fontId="26" fillId="3" borderId="17" xfId="0" applyNumberFormat="1" applyFont="1" applyFill="1" applyBorder="1" applyAlignment="1">
      <alignment horizontal="center" vertical="center"/>
    </xf>
    <xf numFmtId="1" fontId="26" fillId="3" borderId="19" xfId="0" applyNumberFormat="1" applyFont="1" applyFill="1" applyBorder="1" applyAlignment="1">
      <alignment horizontal="center" vertical="center"/>
    </xf>
    <xf numFmtId="164" fontId="26" fillId="3" borderId="0" xfId="0" applyNumberFormat="1" applyFont="1" applyFill="1" applyBorder="1" applyAlignment="1">
      <alignment horizontal="center" vertical="center"/>
    </xf>
    <xf numFmtId="2" fontId="28" fillId="3" borderId="0" xfId="0" applyNumberFormat="1" applyFont="1" applyFill="1" applyBorder="1" applyAlignment="1">
      <alignment horizontal="center" vertical="center"/>
    </xf>
    <xf numFmtId="0" fontId="26" fillId="3" borderId="17" xfId="0" applyNumberFormat="1" applyFont="1" applyFill="1" applyBorder="1" applyAlignment="1">
      <alignment horizontal="center" vertical="center"/>
    </xf>
    <xf numFmtId="0" fontId="26" fillId="3" borderId="0" xfId="0" applyFont="1" applyFill="1" applyBorder="1" applyAlignment="1">
      <alignment horizontal="center" vertical="center"/>
    </xf>
    <xf numFmtId="0" fontId="26" fillId="3" borderId="11" xfId="0" applyFont="1" applyFill="1" applyBorder="1" applyAlignment="1">
      <alignment horizontal="center" vertical="center"/>
    </xf>
    <xf numFmtId="0" fontId="30" fillId="7" borderId="13" xfId="0" applyNumberFormat="1" applyFont="1" applyFill="1" applyBorder="1" applyAlignment="1">
      <alignment horizontal="center" vertical="center"/>
    </xf>
    <xf numFmtId="0" fontId="26" fillId="3" borderId="13" xfId="0" applyNumberFormat="1" applyFont="1" applyFill="1" applyBorder="1" applyAlignment="1">
      <alignment horizontal="center" vertical="center"/>
    </xf>
    <xf numFmtId="0" fontId="26" fillId="3" borderId="15" xfId="0" applyNumberFormat="1" applyFont="1" applyFill="1" applyBorder="1" applyAlignment="1">
      <alignment horizontal="center" vertical="center"/>
    </xf>
    <xf numFmtId="0" fontId="26" fillId="3" borderId="0" xfId="0" applyFont="1" applyFill="1" applyBorder="1" applyAlignment="1">
      <alignment horizontal="left" vertical="center" indent="1"/>
    </xf>
    <xf numFmtId="0" fontId="28" fillId="3" borderId="20" xfId="0" applyFont="1" applyFill="1" applyBorder="1" applyAlignment="1">
      <alignment horizontal="left" vertical="center" indent="1"/>
    </xf>
    <xf numFmtId="0" fontId="26" fillId="3" borderId="1" xfId="0" applyFont="1" applyFill="1" applyBorder="1" applyAlignment="1">
      <alignment horizontal="left" vertical="center" indent="1"/>
    </xf>
    <xf numFmtId="0" fontId="26" fillId="3" borderId="18" xfId="0" applyFont="1" applyFill="1" applyBorder="1" applyAlignment="1">
      <alignment horizontal="left" vertical="center" indent="1"/>
    </xf>
    <xf numFmtId="2" fontId="28" fillId="3" borderId="0" xfId="0" applyNumberFormat="1" applyFont="1" applyFill="1" applyBorder="1" applyAlignment="1">
      <alignment horizontal="left" vertical="center" indent="1"/>
    </xf>
    <xf numFmtId="0" fontId="26" fillId="3" borderId="0" xfId="0" applyFont="1" applyFill="1" applyBorder="1" applyAlignment="1">
      <alignment vertical="center"/>
    </xf>
    <xf numFmtId="0" fontId="28" fillId="3" borderId="10" xfId="0" applyFont="1" applyFill="1" applyBorder="1" applyAlignment="1">
      <alignment horizontal="left" vertical="center" indent="1"/>
    </xf>
    <xf numFmtId="0" fontId="30" fillId="7" borderId="12" xfId="0" applyFont="1" applyFill="1" applyBorder="1" applyAlignment="1">
      <alignment horizontal="left" vertical="center" indent="1"/>
    </xf>
    <xf numFmtId="0" fontId="26" fillId="3" borderId="12" xfId="0" applyFont="1" applyFill="1" applyBorder="1" applyAlignment="1">
      <alignment horizontal="left" vertical="center" indent="1"/>
    </xf>
    <xf numFmtId="0" fontId="26" fillId="3" borderId="14" xfId="0" applyFont="1" applyFill="1" applyBorder="1" applyAlignment="1">
      <alignment horizontal="left" vertical="center" indent="1"/>
    </xf>
    <xf numFmtId="0" fontId="29" fillId="5" borderId="18" xfId="0" applyFont="1" applyFill="1" applyBorder="1" applyAlignment="1">
      <alignment horizontal="left" vertical="center" indent="1"/>
    </xf>
    <xf numFmtId="0" fontId="29" fillId="5" borderId="19" xfId="0" applyNumberFormat="1" applyFont="1" applyFill="1" applyBorder="1" applyAlignment="1">
      <alignment horizontal="center" vertical="center"/>
    </xf>
    <xf numFmtId="1" fontId="26" fillId="3" borderId="13" xfId="0" applyNumberFormat="1" applyFont="1" applyFill="1" applyBorder="1" applyAlignment="1">
      <alignment horizontal="center" vertical="center"/>
    </xf>
    <xf numFmtId="171" fontId="26" fillId="3" borderId="13" xfId="0" applyNumberFormat="1" applyFont="1" applyFill="1" applyBorder="1" applyAlignment="1">
      <alignment horizontal="center" vertical="center"/>
    </xf>
    <xf numFmtId="0" fontId="28" fillId="3" borderId="22" xfId="0" applyFont="1" applyFill="1" applyBorder="1" applyAlignment="1">
      <alignment horizontal="left" vertical="center" indent="1"/>
    </xf>
    <xf numFmtId="164" fontId="27" fillId="3" borderId="23" xfId="0" applyNumberFormat="1" applyFont="1" applyFill="1" applyBorder="1" applyAlignment="1">
      <alignment horizontal="center" vertical="center"/>
    </xf>
    <xf numFmtId="0" fontId="28" fillId="3" borderId="23" xfId="0" applyNumberFormat="1" applyFont="1" applyFill="1" applyBorder="1" applyAlignment="1">
      <alignment horizontal="center" vertical="center"/>
    </xf>
    <xf numFmtId="168" fontId="28" fillId="3" borderId="23" xfId="0" applyNumberFormat="1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left" vertical="center" indent="1"/>
    </xf>
    <xf numFmtId="0" fontId="16" fillId="2" borderId="0" xfId="0" applyFont="1" applyFill="1" applyBorder="1" applyAlignment="1">
      <alignment vertical="center"/>
    </xf>
    <xf numFmtId="0" fontId="19" fillId="2" borderId="0" xfId="0" applyFont="1" applyFill="1" applyBorder="1" applyAlignment="1">
      <alignment horizontal="left" vertical="center" indent="1"/>
    </xf>
    <xf numFmtId="164" fontId="19" fillId="2" borderId="0" xfId="0" applyNumberFormat="1" applyFont="1" applyFill="1" applyBorder="1" applyAlignment="1">
      <alignment horizontal="left" vertical="center" indent="1"/>
    </xf>
    <xf numFmtId="0" fontId="16" fillId="2" borderId="0" xfId="0" applyNumberFormat="1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right" vertical="center" indent="1"/>
    </xf>
    <xf numFmtId="165" fontId="9" fillId="0" borderId="24" xfId="0" applyNumberFormat="1" applyFont="1" applyFill="1" applyBorder="1" applyAlignment="1" applyProtection="1">
      <alignment horizontal="center" vertical="center"/>
      <protection hidden="1"/>
    </xf>
    <xf numFmtId="0" fontId="9" fillId="0" borderId="24" xfId="0" applyFont="1" applyFill="1" applyBorder="1" applyAlignment="1" applyProtection="1">
      <alignment horizontal="center" vertical="center"/>
      <protection hidden="1"/>
    </xf>
    <xf numFmtId="170" fontId="9" fillId="0" borderId="24" xfId="0" applyNumberFormat="1" applyFont="1" applyFill="1" applyBorder="1" applyAlignment="1" applyProtection="1">
      <alignment horizontal="center" vertical="center"/>
      <protection hidden="1"/>
    </xf>
    <xf numFmtId="0" fontId="9" fillId="0" borderId="24" xfId="0" applyNumberFormat="1" applyFont="1" applyFill="1" applyBorder="1" applyAlignment="1" applyProtection="1">
      <alignment horizontal="center" vertical="center"/>
      <protection hidden="1"/>
    </xf>
    <xf numFmtId="1" fontId="9" fillId="0" borderId="24" xfId="0" applyNumberFormat="1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168" fontId="9" fillId="0" borderId="24" xfId="0" applyNumberFormat="1" applyFont="1" applyFill="1" applyBorder="1" applyAlignment="1">
      <alignment horizontal="center" vertical="center"/>
    </xf>
    <xf numFmtId="170" fontId="9" fillId="0" borderId="24" xfId="0" applyNumberFormat="1" applyFont="1" applyFill="1" applyBorder="1" applyAlignment="1">
      <alignment horizontal="center" vertical="center"/>
    </xf>
    <xf numFmtId="169" fontId="9" fillId="0" borderId="24" xfId="1" applyNumberFormat="1" applyFont="1" applyFill="1" applyBorder="1" applyAlignment="1">
      <alignment horizontal="center" vertical="center"/>
    </xf>
    <xf numFmtId="165" fontId="9" fillId="0" borderId="9" xfId="0" applyNumberFormat="1" applyFont="1" applyFill="1" applyBorder="1" applyAlignment="1" applyProtection="1">
      <alignment horizontal="center" vertical="center"/>
      <protection hidden="1"/>
    </xf>
    <xf numFmtId="0" fontId="9" fillId="0" borderId="9" xfId="0" applyFont="1" applyFill="1" applyBorder="1" applyAlignment="1" applyProtection="1">
      <alignment horizontal="center" vertical="center"/>
      <protection hidden="1"/>
    </xf>
    <xf numFmtId="170" fontId="9" fillId="0" borderId="9" xfId="0" applyNumberFormat="1" applyFont="1" applyFill="1" applyBorder="1" applyAlignment="1" applyProtection="1">
      <alignment horizontal="center" vertical="center"/>
      <protection hidden="1"/>
    </xf>
    <xf numFmtId="0" fontId="9" fillId="0" borderId="9" xfId="0" applyNumberFormat="1" applyFont="1" applyFill="1" applyBorder="1" applyAlignment="1" applyProtection="1">
      <alignment horizontal="center" vertical="center"/>
      <protection hidden="1"/>
    </xf>
    <xf numFmtId="1" fontId="9" fillId="0" borderId="9" xfId="0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168" fontId="9" fillId="0" borderId="9" xfId="0" applyNumberFormat="1" applyFont="1" applyFill="1" applyBorder="1" applyAlignment="1">
      <alignment horizontal="center" vertical="center"/>
    </xf>
    <xf numFmtId="170" fontId="9" fillId="0" borderId="9" xfId="0" applyNumberFormat="1" applyFont="1" applyFill="1" applyBorder="1" applyAlignment="1">
      <alignment horizontal="center" vertical="center"/>
    </xf>
    <xf numFmtId="169" fontId="9" fillId="0" borderId="9" xfId="1" applyNumberFormat="1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right" vertical="center"/>
    </xf>
  </cellXfs>
  <cellStyles count="2">
    <cellStyle name="Обычный" xfId="0" builtinId="0"/>
    <cellStyle name="Процентный" xfId="1" builtinId="5"/>
  </cellStyles>
  <dxfs count="7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Tahoma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 tint="-0.499984740745262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Tahoma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>
        <left style="medium">
          <color theme="1" tint="-0.499984740745262"/>
        </left>
        <right style="medium">
          <color theme="1" tint="-0.49998474074526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Tahoma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Tahoma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Tahoma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 tint="-0.499984740745262"/>
        </left>
        <right style="medium">
          <color theme="1" tint="-0.49998474074526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Tahoma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</dxf>
    <dxf>
      <border outline="0">
        <left style="medium">
          <color theme="1" tint="-0.499984740745262"/>
        </left>
        <right style="medium">
          <color theme="1" tint="-0.499984740745262"/>
        </right>
        <top style="medium">
          <color theme="1" tint="-0.499984740745262"/>
        </top>
        <bottom style="medium">
          <color theme="1" tint="-0.499984740745262"/>
        </bottom>
      </border>
    </dxf>
    <dxf>
      <border outline="0">
        <bottom style="medium">
          <color theme="1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9" formatCode="0.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9" formatCode="0.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9" formatCode="0.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70" formatCode="#,##0.0_ ;[Red]\-#,##0.0\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70" formatCode="#,##0.0_ ;[Red]\-#,##0.0\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8" formatCode="0.00_/\к\г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[$€-2]\ 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70" formatCode="#,##0.0_ ;[Red]\-#,##0.0\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70" formatCode="#,##0.0_ ;[Red]\-#,##0.0\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[$€-2]\ 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strike val="0"/>
        <outline val="0"/>
        <shadow val="0"/>
        <u val="none"/>
        <sz val="10"/>
        <color auto="1"/>
        <name val="Consolas"/>
        <scheme val="none"/>
      </font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C00000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CC"/>
        <name val="Consolas"/>
        <scheme val="none"/>
      </font>
      <numFmt numFmtId="166" formatCode="#,##0.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Consola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4" formatCode="0.00%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 tint="-0.249977111117893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Consolas"/>
        <scheme val="none"/>
      </font>
    </dxf>
    <dxf>
      <font>
        <strike val="0"/>
        <outline val="0"/>
        <shadow val="0"/>
        <u val="none"/>
        <vertAlign val="baseline"/>
        <sz val="10"/>
        <name val="Consolas"/>
        <scheme val="none"/>
      </font>
    </dxf>
    <dxf>
      <font>
        <color theme="0"/>
      </font>
      <fill>
        <patternFill>
          <bgColor rgb="FF00B050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0"/>
      </font>
      <fill>
        <patternFill>
          <bgColor rgb="FF00B050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mruColors>
      <color rgb="FF414141"/>
      <color rgb="FF41FFFF"/>
      <color rgb="FF3735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13" Type="http://schemas.openxmlformats.org/officeDocument/2006/relationships/image" Target="../media/image10.png"/><Relationship Id="rId3" Type="http://schemas.openxmlformats.org/officeDocument/2006/relationships/image" Target="../media/image3.jpeg"/><Relationship Id="rId7" Type="http://schemas.openxmlformats.org/officeDocument/2006/relationships/hyperlink" Target="https://www.haefele.de/prod-live/static/WFS/Haefele-HDE-Site/-/Haefele/en_DE/documents/02226465_0.pdf?canonicalUrl=/en/product/free-fold-for-flaps-made-from-wood-or-with-aluminium-frame/000000940003d8d300030023/" TargetMode="External"/><Relationship Id="rId12" Type="http://schemas.openxmlformats.org/officeDocument/2006/relationships/image" Target="../media/image9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hyperlink" Target="https://youtu.be/g2rnDaCnHeQ" TargetMode="External"/><Relationship Id="rId5" Type="http://schemas.openxmlformats.org/officeDocument/2006/relationships/image" Target="../media/image5.jpeg"/><Relationship Id="rId10" Type="http://schemas.openxmlformats.org/officeDocument/2006/relationships/image" Target="../media/image8.png"/><Relationship Id="rId4" Type="http://schemas.openxmlformats.org/officeDocument/2006/relationships/image" Target="../media/image4.jpeg"/><Relationship Id="rId9" Type="http://schemas.openxmlformats.org/officeDocument/2006/relationships/hyperlink" Target="https://www.haefele.de/en/product/free-fold-for-flaps-made-from-wood-or-with-aluminium-frame/000000940003d8d300030023/#SearchParameter=&amp;@QueryTerm=free+fold&amp;@P.FF.followSearch=9998&amp;PageNumber=1&amp;OriginalPageSize=12&amp;Position=1&amp;OrigPos=1&amp;ProductListSize=38&amp;PD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1087497</xdr:colOff>
      <xdr:row>19</xdr:row>
      <xdr:rowOff>16398</xdr:rowOff>
    </xdr:from>
    <xdr:to>
      <xdr:col>5</xdr:col>
      <xdr:colOff>1201905</xdr:colOff>
      <xdr:row>19</xdr:row>
      <xdr:rowOff>134315</xdr:rowOff>
    </xdr:to>
    <xdr:sp macro="" textlink="$C$8">
      <xdr:nvSpPr>
        <xdr:cNvPr id="49" name="TextBox 48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 txBox="1"/>
      </xdr:nvSpPr>
      <xdr:spPr>
        <a:xfrm>
          <a:off x="4186785" y="3064398"/>
          <a:ext cx="114408" cy="1179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fld id="{4F70D4A3-96DA-4C63-9BE1-E00746C2E19B}" type="TxLink">
            <a:rPr lang="en-US" sz="8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18</a:t>
          </a:fld>
          <a:endParaRPr lang="uk-UA" sz="800">
            <a:solidFill>
              <a:srgbClr val="373535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1086031</xdr:colOff>
      <xdr:row>29</xdr:row>
      <xdr:rowOff>132163</xdr:rowOff>
    </xdr:from>
    <xdr:to>
      <xdr:col>5</xdr:col>
      <xdr:colOff>1200439</xdr:colOff>
      <xdr:row>30</xdr:row>
      <xdr:rowOff>59580</xdr:rowOff>
    </xdr:to>
    <xdr:sp macro="" textlink="$C$11">
      <xdr:nvSpPr>
        <xdr:cNvPr id="50" name="TextBox 49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 txBox="1"/>
      </xdr:nvSpPr>
      <xdr:spPr>
        <a:xfrm>
          <a:off x="4185319" y="5275663"/>
          <a:ext cx="114408" cy="1179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fld id="{924F3920-2081-4F0B-B392-7647A5E29250}" type="TxLink">
            <a:rPr lang="en-US" sz="8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18</a:t>
          </a:fld>
          <a:endParaRPr lang="uk-UA" sz="800">
            <a:solidFill>
              <a:srgbClr val="373535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1015034</xdr:colOff>
      <xdr:row>0</xdr:row>
      <xdr:rowOff>95664</xdr:rowOff>
    </xdr:from>
    <xdr:to>
      <xdr:col>4</xdr:col>
      <xdr:colOff>395909</xdr:colOff>
      <xdr:row>2</xdr:row>
      <xdr:rowOff>95664</xdr:rowOff>
    </xdr:to>
    <xdr:sp macro="[0]!ВведенняДаних" textlink="">
      <xdr:nvSpPr>
        <xdr:cNvPr id="2" name="Rectangle: Rounded Corner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 flipH="1">
          <a:off x="3234359" y="95664"/>
          <a:ext cx="1143000" cy="381000"/>
        </a:xfrm>
        <a:prstGeom prst="roundRect">
          <a:avLst/>
        </a:prstGeom>
        <a:gradFill flip="none" rotWithShape="1">
          <a:gsLst>
            <a:gs pos="0">
              <a:schemeClr val="bg2">
                <a:lumMod val="75000"/>
              </a:schemeClr>
            </a:gs>
            <a:gs pos="100000">
              <a:schemeClr val="bg2"/>
            </a:gs>
          </a:gsLst>
          <a:lin ang="13500000" scaled="1"/>
          <a:tileRect/>
        </a:gradFill>
        <a:ln>
          <a:noFill/>
        </a:ln>
        <a:effectLst/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uk-UA" sz="1100" b="1">
              <a:latin typeface="Arial" panose="020B0604020202020204" pitchFamily="34" charset="0"/>
              <a:cs typeface="Arial" panose="020B0604020202020204" pitchFamily="34" charset="0"/>
            </a:rPr>
            <a:t>Ввести дані</a:t>
          </a:r>
        </a:p>
      </xdr:txBody>
    </xdr:sp>
    <xdr:clientData fPrintsWithSheet="0"/>
  </xdr:twoCellAnchor>
  <xdr:twoCellAnchor editAs="absolute">
    <xdr:from>
      <xdr:col>14</xdr:col>
      <xdr:colOff>138733</xdr:colOff>
      <xdr:row>0</xdr:row>
      <xdr:rowOff>74544</xdr:rowOff>
    </xdr:from>
    <xdr:to>
      <xdr:col>20</xdr:col>
      <xdr:colOff>309426</xdr:colOff>
      <xdr:row>2</xdr:row>
      <xdr:rowOff>83689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56543" y="74544"/>
          <a:ext cx="2456693" cy="390145"/>
        </a:xfrm>
        <a:prstGeom prst="rect">
          <a:avLst/>
        </a:prstGeom>
      </xdr:spPr>
    </xdr:pic>
    <xdr:clientData fPrintsWithSheet="0"/>
  </xdr:twoCellAnchor>
  <xdr:twoCellAnchor editAs="absolute">
    <xdr:from>
      <xdr:col>1</xdr:col>
      <xdr:colOff>0</xdr:colOff>
      <xdr:row>0</xdr:row>
      <xdr:rowOff>99390</xdr:rowOff>
    </xdr:from>
    <xdr:to>
      <xdr:col>2</xdr:col>
      <xdr:colOff>246599</xdr:colOff>
      <xdr:row>2</xdr:row>
      <xdr:rowOff>46685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/>
      </xdr:nvSpPr>
      <xdr:spPr>
        <a:xfrm>
          <a:off x="173935" y="99390"/>
          <a:ext cx="2294474" cy="328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rIns="0" rtlCol="0" anchor="t">
          <a:spAutoFit/>
        </a:bodyPr>
        <a:lstStyle/>
        <a:p>
          <a:pPr algn="l"/>
          <a:r>
            <a:rPr lang="uk-UA" sz="1600" b="1">
              <a:latin typeface="Arial" panose="020B0604020202020204" pitchFamily="34" charset="0"/>
              <a:cs typeface="Arial" panose="020B0604020202020204" pitchFamily="34" charset="0"/>
            </a:rPr>
            <a:t>Калькулятор</a:t>
          </a:r>
          <a:r>
            <a:rPr lang="uk-UA" sz="16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600" b="1" baseline="0">
              <a:latin typeface="Arial" panose="020B0604020202020204" pitchFamily="34" charset="0"/>
              <a:cs typeface="Arial" panose="020B0604020202020204" pitchFamily="34" charset="0"/>
            </a:rPr>
            <a:t>Free Fold</a:t>
          </a:r>
          <a:endParaRPr lang="uk-UA" sz="1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 fPrintsWithSheet="0"/>
  </xdr:twoCellAnchor>
  <xdr:oneCellAnchor>
    <xdr:from>
      <xdr:col>4</xdr:col>
      <xdr:colOff>28575</xdr:colOff>
      <xdr:row>27</xdr:row>
      <xdr:rowOff>32051</xdr:rowOff>
    </xdr:from>
    <xdr:ext cx="28534" cy="125227"/>
    <xdr:sp macro="" textlink="$C$6">
      <xdr:nvSpPr>
        <xdr:cNvPr id="37" name="TextBox 36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 txBox="1"/>
      </xdr:nvSpPr>
      <xdr:spPr>
        <a:xfrm>
          <a:off x="3676650" y="5175551"/>
          <a:ext cx="28534" cy="125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fld id="{1A6694AD-302B-430A-8C81-02887B7C5B0A}" type="TxLink">
            <a:rPr lang="en-US" sz="800" b="0" i="0" u="none" strike="noStrike">
              <a:solidFill>
                <a:srgbClr val="373535"/>
              </a:solidFill>
              <a:latin typeface="Arial"/>
              <a:cs typeface="Arial"/>
            </a:rPr>
            <a:pPr/>
            <a:t> </a:t>
          </a:fld>
          <a:endParaRPr lang="uk-UA" sz="1100">
            <a:solidFill>
              <a:srgbClr val="373535"/>
            </a:solidFill>
          </a:endParaRPr>
        </a:p>
      </xdr:txBody>
    </xdr:sp>
    <xdr:clientData/>
  </xdr:oneCellAnchor>
  <xdr:twoCellAnchor>
    <xdr:from>
      <xdr:col>4</xdr:col>
      <xdr:colOff>342900</xdr:colOff>
      <xdr:row>5</xdr:row>
      <xdr:rowOff>38100</xdr:rowOff>
    </xdr:from>
    <xdr:to>
      <xdr:col>10</xdr:col>
      <xdr:colOff>233025</xdr:colOff>
      <xdr:row>21</xdr:row>
      <xdr:rowOff>211</xdr:rowOff>
    </xdr:to>
    <xdr:grpSp>
      <xdr:nvGrpSpPr>
        <xdr:cNvPr id="38" name="Group 6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GrpSpPr>
          <a:grpSpLocks noChangeAspect="1"/>
        </xdr:cNvGrpSpPr>
      </xdr:nvGrpSpPr>
      <xdr:grpSpPr>
        <a:xfrm>
          <a:off x="4324350" y="990600"/>
          <a:ext cx="2700000" cy="3010111"/>
          <a:chOff x="3697771" y="666750"/>
          <a:chExt cx="2883727" cy="3214941"/>
        </a:xfrm>
      </xdr:grpSpPr>
      <xdr:pic>
        <xdr:nvPicPr>
          <xdr:cNvPr id="39" name="Picture 7">
            <a:extLst>
              <a:ext uri="{FF2B5EF4-FFF2-40B4-BE49-F238E27FC236}">
                <a16:creationId xmlns:a16="http://schemas.microsoft.com/office/drawing/2014/main" xmlns="" id="{00000000-0008-0000-0000-00002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97771" y="666750"/>
            <a:ext cx="2883727" cy="3214941"/>
          </a:xfrm>
          <a:prstGeom prst="rect">
            <a:avLst/>
          </a:prstGeom>
        </xdr:spPr>
      </xdr:pic>
      <xdr:grpSp>
        <xdr:nvGrpSpPr>
          <xdr:cNvPr id="40" name="Group 8">
            <a:extLst>
              <a:ext uri="{FF2B5EF4-FFF2-40B4-BE49-F238E27FC236}">
                <a16:creationId xmlns:a16="http://schemas.microsoft.com/office/drawing/2014/main" xmlns="" id="{00000000-0008-0000-0000-000028000000}"/>
              </a:ext>
            </a:extLst>
          </xdr:cNvPr>
          <xdr:cNvGrpSpPr/>
        </xdr:nvGrpSpPr>
        <xdr:grpSpPr>
          <a:xfrm>
            <a:off x="4215876" y="889694"/>
            <a:ext cx="1693641" cy="2790941"/>
            <a:chOff x="4215876" y="889694"/>
            <a:chExt cx="1693641" cy="2790941"/>
          </a:xfrm>
        </xdr:grpSpPr>
        <xdr:sp macro="" textlink="$C$35">
          <xdr:nvSpPr>
            <xdr:cNvPr id="41" name="TextBox 40" descr="T">
              <a:extLst>
                <a:ext uri="{FF2B5EF4-FFF2-40B4-BE49-F238E27FC236}">
                  <a16:creationId xmlns:a16="http://schemas.microsoft.com/office/drawing/2014/main" xmlns="" id="{00000000-0008-0000-0000-000029000000}"/>
                </a:ext>
              </a:extLst>
            </xdr:cNvPr>
            <xdr:cNvSpPr txBox="1"/>
          </xdr:nvSpPr>
          <xdr:spPr>
            <a:xfrm>
              <a:off x="4773092" y="889694"/>
              <a:ext cx="75332" cy="1416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overflow" horzOverflow="overflow" wrap="none" lIns="0" tIns="0" rIns="0" bIns="0" rtlCol="0" anchor="ctr">
              <a:noAutofit/>
            </a:bodyPr>
            <a:lstStyle/>
            <a:p>
              <a:pPr marL="0" indent="0" algn="r"/>
              <a:fld id="{8138E417-C503-4655-BC85-38C081D3CC9E}" type="TxLink">
                <a:rPr lang="en-US" sz="900" b="0" i="0" u="none" strike="noStrike">
                  <a:solidFill>
                    <a:srgbClr val="000000"/>
                  </a:solidFill>
                  <a:latin typeface="Arial"/>
                  <a:ea typeface="+mn-ea"/>
                  <a:cs typeface="Arial"/>
                </a:rPr>
                <a:pPr marL="0" indent="0" algn="r"/>
                <a:t>102</a:t>
              </a:fld>
              <a:endParaRPr lang="uk-UA" sz="800" b="0" i="0" u="none" strike="noStrike">
                <a:solidFill>
                  <a:srgbClr val="373535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endParaRPr>
            </a:p>
          </xdr:txBody>
        </xdr:sp>
        <xdr:sp macro="" textlink="$C$36">
          <xdr:nvSpPr>
            <xdr:cNvPr id="42" name="TextBox 41">
              <a:extLst>
                <a:ext uri="{FF2B5EF4-FFF2-40B4-BE49-F238E27FC236}">
                  <a16:creationId xmlns:a16="http://schemas.microsoft.com/office/drawing/2014/main" xmlns="" id="{00000000-0008-0000-0000-00002A000000}"/>
                </a:ext>
              </a:extLst>
            </xdr:cNvPr>
            <xdr:cNvSpPr txBox="1"/>
          </xdr:nvSpPr>
          <xdr:spPr>
            <a:xfrm>
              <a:off x="5140187" y="1663321"/>
              <a:ext cx="205656" cy="1416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overflow" horzOverflow="overflow" wrap="none" lIns="0" tIns="0" rIns="0" bIns="0" rtlCol="0" anchor="ctr">
              <a:spAutoFit/>
            </a:bodyPr>
            <a:lstStyle/>
            <a:p>
              <a:pPr algn="r"/>
              <a:fld id="{1C0206C2-42E4-4498-BFC2-4DC891F5D040}" type="TxLink">
                <a:rPr lang="en-US" sz="9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r"/>
                <a:t>198</a:t>
              </a:fld>
              <a:endParaRPr lang="uk-UA" sz="800" b="0">
                <a:solidFill>
                  <a:srgbClr val="373535"/>
                </a:solidFill>
                <a:latin typeface="Arial" panose="020B0604020202020204" pitchFamily="34" charset="0"/>
                <a:cs typeface="Arial" panose="020B0604020202020204" pitchFamily="34" charset="0"/>
              </a:endParaRPr>
            </a:p>
          </xdr:txBody>
        </xdr:sp>
        <xdr:sp macro="" textlink="$C$34">
          <xdr:nvSpPr>
            <xdr:cNvPr id="43" name="TextBox 42">
              <a:extLst>
                <a:ext uri="{FF2B5EF4-FFF2-40B4-BE49-F238E27FC236}">
                  <a16:creationId xmlns:a16="http://schemas.microsoft.com/office/drawing/2014/main" xmlns="" id="{00000000-0008-0000-0000-00002B000000}"/>
                </a:ext>
              </a:extLst>
            </xdr:cNvPr>
            <xdr:cNvSpPr txBox="1"/>
          </xdr:nvSpPr>
          <xdr:spPr>
            <a:xfrm>
              <a:off x="5654553" y="1667001"/>
              <a:ext cx="254964" cy="1416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overflow" horzOverflow="overflow" wrap="none" lIns="0" tIns="0" rIns="0" bIns="0" rtlCol="0" anchor="ctr">
              <a:spAutoFit/>
            </a:bodyPr>
            <a:lstStyle/>
            <a:p>
              <a:pPr marL="0" indent="0" algn="r"/>
              <a:fld id="{6CC0766F-4199-4E02-889A-E45D8F4E12E1}" type="TxLink">
                <a:rPr lang="en-US" sz="900" b="0" i="0" u="none" strike="noStrike">
                  <a:solidFill>
                    <a:srgbClr val="000000"/>
                  </a:solidFill>
                  <a:latin typeface="Arial"/>
                  <a:ea typeface="+mn-ea"/>
                  <a:cs typeface="Arial"/>
                </a:rPr>
                <a:pPr marL="0" indent="0" algn="r"/>
                <a:t>102°</a:t>
              </a:fld>
              <a:endParaRPr lang="uk-UA" sz="800" b="0" i="0" u="none" strike="noStrike">
                <a:solidFill>
                  <a:srgbClr val="373535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endParaRPr>
            </a:p>
          </xdr:txBody>
        </xdr:sp>
        <xdr:sp macro="" textlink="$C$37">
          <xdr:nvSpPr>
            <xdr:cNvPr id="44" name="TextBox 43">
              <a:extLst>
                <a:ext uri="{FF2B5EF4-FFF2-40B4-BE49-F238E27FC236}">
                  <a16:creationId xmlns:a16="http://schemas.microsoft.com/office/drawing/2014/main" xmlns="" id="{00000000-0008-0000-0000-00002C000000}"/>
                </a:ext>
              </a:extLst>
            </xdr:cNvPr>
            <xdr:cNvSpPr txBox="1"/>
          </xdr:nvSpPr>
          <xdr:spPr>
            <a:xfrm>
              <a:off x="5500575" y="2521692"/>
              <a:ext cx="205656" cy="1416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overflow" horzOverflow="overflow" wrap="none" lIns="0" tIns="0" rIns="0" bIns="0" rtlCol="0" anchor="ctr">
              <a:spAutoFit/>
            </a:bodyPr>
            <a:lstStyle/>
            <a:p>
              <a:pPr marL="0" indent="0" algn="r"/>
              <a:fld id="{41957300-CD77-4BD4-9FCB-20F24DF635A2}" type="TxLink">
                <a:rPr lang="en-US" sz="900" b="0" i="0" u="none" strike="noStrike">
                  <a:solidFill>
                    <a:srgbClr val="000000"/>
                  </a:solidFill>
                  <a:latin typeface="Arial"/>
                  <a:ea typeface="+mn-ea"/>
                  <a:cs typeface="Arial"/>
                </a:rPr>
                <a:pPr marL="0" indent="0" algn="r"/>
                <a:t>238</a:t>
              </a:fld>
              <a:endParaRPr lang="uk-UA" sz="800" b="0" i="0" u="none" strike="noStrike">
                <a:solidFill>
                  <a:srgbClr val="373535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endParaRPr>
            </a:p>
          </xdr:txBody>
        </xdr:sp>
        <xdr:sp macro="" textlink="$C$38">
          <xdr:nvSpPr>
            <xdr:cNvPr id="45" name="TextBox 44">
              <a:extLst>
                <a:ext uri="{FF2B5EF4-FFF2-40B4-BE49-F238E27FC236}">
                  <a16:creationId xmlns:a16="http://schemas.microsoft.com/office/drawing/2014/main" xmlns="" id="{00000000-0008-0000-0000-00002D000000}"/>
                </a:ext>
              </a:extLst>
            </xdr:cNvPr>
            <xdr:cNvSpPr txBox="1"/>
          </xdr:nvSpPr>
          <xdr:spPr>
            <a:xfrm>
              <a:off x="5679016" y="2922400"/>
              <a:ext cx="205656" cy="1416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overflow" horzOverflow="overflow" wrap="none" lIns="0" tIns="0" rIns="0" bIns="0" rtlCol="0" anchor="ctr">
              <a:spAutoFit/>
            </a:bodyPr>
            <a:lstStyle/>
            <a:p>
              <a:pPr marL="0" indent="0" algn="r"/>
              <a:fld id="{F0BC2900-6D78-4461-9289-22294B60FA57}" type="TxLink">
                <a:rPr lang="en-US" sz="900" b="0" i="0" u="none" strike="noStrike">
                  <a:solidFill>
                    <a:srgbClr val="000000"/>
                  </a:solidFill>
                  <a:latin typeface="Arial"/>
                  <a:ea typeface="+mn-ea"/>
                  <a:cs typeface="Arial"/>
                </a:rPr>
                <a:pPr marL="0" indent="0" algn="r"/>
                <a:t>492</a:t>
              </a:fld>
              <a:endParaRPr lang="uk-UA" sz="800" b="0" i="0" u="none" strike="noStrike">
                <a:solidFill>
                  <a:srgbClr val="373535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endParaRPr>
            </a:p>
          </xdr:txBody>
        </xdr:sp>
        <xdr:sp macro="" textlink="">
          <xdr:nvSpPr>
            <xdr:cNvPr id="46" name="TextBox 45" descr="T">
              <a:extLst>
                <a:ext uri="{FF2B5EF4-FFF2-40B4-BE49-F238E27FC236}">
                  <a16:creationId xmlns:a16="http://schemas.microsoft.com/office/drawing/2014/main" xmlns="" id="{00000000-0008-0000-0000-00002E000000}"/>
                </a:ext>
              </a:extLst>
            </xdr:cNvPr>
            <xdr:cNvSpPr txBox="1"/>
          </xdr:nvSpPr>
          <xdr:spPr>
            <a:xfrm>
              <a:off x="4215876" y="1384993"/>
              <a:ext cx="273318" cy="1416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overflow" horzOverflow="overflow" wrap="none" lIns="0" tIns="0" rIns="0" bIns="0" rtlCol="0" anchor="ctr">
              <a:spAutoFit/>
            </a:bodyPr>
            <a:lstStyle/>
            <a:p>
              <a:pPr marL="0" indent="0" algn="r"/>
              <a:r>
                <a:rPr lang="en-US" sz="900" b="0" i="0" u="none" strike="noStrike">
                  <a:solidFill>
                    <a:srgbClr val="373535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rPr>
                <a:t>≥288</a:t>
              </a:r>
            </a:p>
          </xdr:txBody>
        </xdr:sp>
        <xdr:sp macro="" textlink="">
          <xdr:nvSpPr>
            <xdr:cNvPr id="47" name="TextBox 46" descr="T">
              <a:extLst>
                <a:ext uri="{FF2B5EF4-FFF2-40B4-BE49-F238E27FC236}">
                  <a16:creationId xmlns:a16="http://schemas.microsoft.com/office/drawing/2014/main" xmlns="" id="{00000000-0008-0000-0000-00002F000000}"/>
                </a:ext>
              </a:extLst>
            </xdr:cNvPr>
            <xdr:cNvSpPr txBox="1"/>
          </xdr:nvSpPr>
          <xdr:spPr>
            <a:xfrm>
              <a:off x="4843372" y="3538942"/>
              <a:ext cx="137103" cy="1416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ctr">
              <a:spAutoFit/>
            </a:bodyPr>
            <a:lstStyle/>
            <a:p>
              <a:pPr marL="0" indent="0" algn="r"/>
              <a:r>
                <a:rPr lang="en-US" sz="900" b="0" i="0" u="none" strike="noStrike">
                  <a:solidFill>
                    <a:srgbClr val="373535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rPr>
                <a:t>25</a:t>
              </a:r>
            </a:p>
          </xdr:txBody>
        </xdr:sp>
      </xdr:grpSp>
    </xdr:grpSp>
    <xdr:clientData/>
  </xdr:twoCellAnchor>
  <xdr:twoCellAnchor>
    <xdr:from>
      <xdr:col>4</xdr:col>
      <xdr:colOff>59867</xdr:colOff>
      <xdr:row>22</xdr:row>
      <xdr:rowOff>34018</xdr:rowOff>
    </xdr:from>
    <xdr:to>
      <xdr:col>9</xdr:col>
      <xdr:colOff>5686</xdr:colOff>
      <xdr:row>36</xdr:row>
      <xdr:rowOff>31959</xdr:rowOff>
    </xdr:to>
    <xdr:grpSp>
      <xdr:nvGrpSpPr>
        <xdr:cNvPr id="48" name="Групувати 4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GrpSpPr>
          <a:grpSpLocks noChangeAspect="1"/>
        </xdr:cNvGrpSpPr>
      </xdr:nvGrpSpPr>
      <xdr:grpSpPr>
        <a:xfrm>
          <a:off x="4041317" y="4225018"/>
          <a:ext cx="2374694" cy="2664941"/>
          <a:chOff x="3702607" y="3071725"/>
          <a:chExt cx="1894562" cy="2131953"/>
        </a:xfrm>
      </xdr:grpSpPr>
      <xdr:grpSp>
        <xdr:nvGrpSpPr>
          <xdr:cNvPr id="51" name="Group 16">
            <a:extLst>
              <a:ext uri="{FF2B5EF4-FFF2-40B4-BE49-F238E27FC236}">
                <a16:creationId xmlns:a16="http://schemas.microsoft.com/office/drawing/2014/main" xmlns="" id="{00000000-0008-0000-0000-000033000000}"/>
              </a:ext>
            </a:extLst>
          </xdr:cNvPr>
          <xdr:cNvGrpSpPr/>
        </xdr:nvGrpSpPr>
        <xdr:grpSpPr>
          <a:xfrm>
            <a:off x="3738251" y="3071725"/>
            <a:ext cx="1858918" cy="2131953"/>
            <a:chOff x="3739843" y="3753132"/>
            <a:chExt cx="1854459" cy="2322453"/>
          </a:xfrm>
        </xdr:grpSpPr>
        <xdr:pic>
          <xdr:nvPicPr>
            <xdr:cNvPr id="53" name="Picture 17">
              <a:extLst>
                <a:ext uri="{FF2B5EF4-FFF2-40B4-BE49-F238E27FC236}">
                  <a16:creationId xmlns:a16="http://schemas.microsoft.com/office/drawing/2014/main" xmlns="" id="{00000000-0008-0000-0000-000035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739843" y="3753132"/>
              <a:ext cx="1854459" cy="2322453"/>
            </a:xfrm>
            <a:prstGeom prst="rect">
              <a:avLst/>
            </a:prstGeom>
          </xdr:spPr>
        </xdr:pic>
        <xdr:sp macro="" textlink="$C$6">
          <xdr:nvSpPr>
            <xdr:cNvPr id="54" name="TextBox 53">
              <a:extLst>
                <a:ext uri="{FF2B5EF4-FFF2-40B4-BE49-F238E27FC236}">
                  <a16:creationId xmlns:a16="http://schemas.microsoft.com/office/drawing/2014/main" xmlns="" id="{00000000-0008-0000-0000-000036000000}"/>
                </a:ext>
              </a:extLst>
            </xdr:cNvPr>
            <xdr:cNvSpPr txBox="1"/>
          </xdr:nvSpPr>
          <xdr:spPr>
            <a:xfrm>
              <a:off x="5170447" y="5420268"/>
              <a:ext cx="102168" cy="11561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uk-UA" sz="900">
                  <a:solidFill>
                    <a:srgbClr val="373535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32</a:t>
              </a:r>
            </a:p>
          </xdr:txBody>
        </xdr:sp>
      </xdr:grpSp>
      <xdr:sp macro="" textlink="$C$7">
        <xdr:nvSpPr>
          <xdr:cNvPr id="52" name="TextBox 51">
            <a:extLst>
              <a:ext uri="{FF2B5EF4-FFF2-40B4-BE49-F238E27FC236}">
                <a16:creationId xmlns:a16="http://schemas.microsoft.com/office/drawing/2014/main" xmlns="" id="{00000000-0008-0000-0000-000034000000}"/>
              </a:ext>
            </a:extLst>
          </xdr:cNvPr>
          <xdr:cNvSpPr txBox="1"/>
        </xdr:nvSpPr>
        <xdr:spPr>
          <a:xfrm>
            <a:off x="3702607" y="4080176"/>
            <a:ext cx="153621" cy="1126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overflow" horzOverflow="overflow" wrap="none" lIns="0" tIns="0" rIns="0" bIns="0" rtlCol="0" anchor="ctr">
            <a:spAutoFit/>
          </a:bodyPr>
          <a:lstStyle/>
          <a:p>
            <a:pPr algn="ctr"/>
            <a:fld id="{9338C5C7-F637-488F-894F-EFDF7133E4B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800</a:t>
            </a:fld>
            <a:endParaRPr lang="uk-UA" sz="1100">
              <a:solidFill>
                <a:srgbClr val="373535"/>
              </a:solidFill>
            </a:endParaRPr>
          </a:p>
        </xdr:txBody>
      </xdr:sp>
    </xdr:grpSp>
    <xdr:clientData/>
  </xdr:twoCellAnchor>
  <xdr:twoCellAnchor>
    <xdr:from>
      <xdr:col>12</xdr:col>
      <xdr:colOff>292553</xdr:colOff>
      <xdr:row>7</xdr:row>
      <xdr:rowOff>42182</xdr:rowOff>
    </xdr:from>
    <xdr:to>
      <xdr:col>21</xdr:col>
      <xdr:colOff>219579</xdr:colOff>
      <xdr:row>21</xdr:row>
      <xdr:rowOff>127732</xdr:rowOff>
    </xdr:to>
    <xdr:grpSp>
      <xdr:nvGrpSpPr>
        <xdr:cNvPr id="55" name="Групувати 54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GrpSpPr>
          <a:grpSpLocks noChangeAspect="1"/>
        </xdr:cNvGrpSpPr>
      </xdr:nvGrpSpPr>
      <xdr:grpSpPr>
        <a:xfrm>
          <a:off x="7845878" y="1375682"/>
          <a:ext cx="3356026" cy="2752550"/>
          <a:chOff x="6513053" y="1143000"/>
          <a:chExt cx="2684821" cy="2202040"/>
        </a:xfrm>
      </xdr:grpSpPr>
      <xdr:grpSp>
        <xdr:nvGrpSpPr>
          <xdr:cNvPr id="56" name="Group 2">
            <a:extLst>
              <a:ext uri="{FF2B5EF4-FFF2-40B4-BE49-F238E27FC236}">
                <a16:creationId xmlns:a16="http://schemas.microsoft.com/office/drawing/2014/main" xmlns="" id="{00000000-0008-0000-0000-000038000000}"/>
              </a:ext>
            </a:extLst>
          </xdr:cNvPr>
          <xdr:cNvGrpSpPr>
            <a:grpSpLocks noChangeAspect="1"/>
          </xdr:cNvGrpSpPr>
        </xdr:nvGrpSpPr>
        <xdr:grpSpPr>
          <a:xfrm>
            <a:off x="6661815" y="1555868"/>
            <a:ext cx="2536059" cy="1789172"/>
            <a:chOff x="4018312" y="1014995"/>
            <a:chExt cx="3265733" cy="2298897"/>
          </a:xfrm>
        </xdr:grpSpPr>
        <xdr:pic>
          <xdr:nvPicPr>
            <xdr:cNvPr id="58" name="Picture 3">
              <a:extLst>
                <a:ext uri="{FF2B5EF4-FFF2-40B4-BE49-F238E27FC236}">
                  <a16:creationId xmlns:a16="http://schemas.microsoft.com/office/drawing/2014/main" xmlns="" id="{00000000-0008-0000-0000-00003A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18312" y="1014995"/>
              <a:ext cx="3265733" cy="2298897"/>
            </a:xfrm>
            <a:prstGeom prst="rect">
              <a:avLst/>
            </a:prstGeom>
          </xdr:spPr>
        </xdr:pic>
        <xdr:sp macro="" textlink="$C$29">
          <xdr:nvSpPr>
            <xdr:cNvPr id="59" name="TextBox 58">
              <a:extLst>
                <a:ext uri="{FF2B5EF4-FFF2-40B4-BE49-F238E27FC236}">
                  <a16:creationId xmlns:a16="http://schemas.microsoft.com/office/drawing/2014/main" xmlns="" id="{00000000-0008-0000-0000-00003B000000}"/>
                </a:ext>
              </a:extLst>
            </xdr:cNvPr>
            <xdr:cNvSpPr txBox="1"/>
          </xdr:nvSpPr>
          <xdr:spPr>
            <a:xfrm>
              <a:off x="6703791" y="2075071"/>
              <a:ext cx="542972" cy="35235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overflow" horzOverflow="overflow" wrap="none" rtlCol="0" anchor="ctr">
              <a:spAutoFit/>
            </a:bodyPr>
            <a:lstStyle/>
            <a:p>
              <a:pPr algn="ctr"/>
              <a:fld id="{E8CA5C4F-1A22-4A91-98C1-8138550F8D7B}" type="TxLink">
                <a:rPr lang="en-US" sz="1600" b="1" i="0" u="none" strike="noStrike">
                  <a:solidFill>
                    <a:schemeClr val="bg2"/>
                  </a:solidFill>
                  <a:latin typeface="Arial"/>
                  <a:cs typeface="Arial"/>
                </a:rPr>
                <a:pPr algn="ctr"/>
                <a:t>138</a:t>
              </a:fld>
              <a:endParaRPr lang="uk-UA" sz="1600">
                <a:solidFill>
                  <a:schemeClr val="bg2"/>
                </a:solidFill>
              </a:endParaRPr>
            </a:p>
          </xdr:txBody>
        </xdr:sp>
      </xdr:grpSp>
      <xdr:sp macro="" textlink="">
        <xdr:nvSpPr>
          <xdr:cNvPr id="57" name="TextBox 56">
            <a:extLst>
              <a:ext uri="{FF2B5EF4-FFF2-40B4-BE49-F238E27FC236}">
                <a16:creationId xmlns:a16="http://schemas.microsoft.com/office/drawing/2014/main" xmlns="" id="{00000000-0008-0000-0000-000039000000}"/>
              </a:ext>
            </a:extLst>
          </xdr:cNvPr>
          <xdr:cNvSpPr txBox="1"/>
        </xdr:nvSpPr>
        <xdr:spPr>
          <a:xfrm>
            <a:off x="6513053" y="1143000"/>
            <a:ext cx="1373325" cy="23980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uk-UA" sz="1000">
                <a:solidFill>
                  <a:srgbClr val="373535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Свердління корпусу</a:t>
            </a:r>
          </a:p>
        </xdr:txBody>
      </xdr:sp>
    </xdr:grpSp>
    <xdr:clientData/>
  </xdr:twoCellAnchor>
  <xdr:twoCellAnchor>
    <xdr:from>
      <xdr:col>12</xdr:col>
      <xdr:colOff>296636</xdr:colOff>
      <xdr:row>26</xdr:row>
      <xdr:rowOff>34018</xdr:rowOff>
    </xdr:from>
    <xdr:to>
      <xdr:col>17</xdr:col>
      <xdr:colOff>363527</xdr:colOff>
      <xdr:row>37</xdr:row>
      <xdr:rowOff>87665</xdr:rowOff>
    </xdr:to>
    <xdr:grpSp>
      <xdr:nvGrpSpPr>
        <xdr:cNvPr id="60" name="Групувати 59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GrpSpPr/>
      </xdr:nvGrpSpPr>
      <xdr:grpSpPr>
        <a:xfrm>
          <a:off x="7849961" y="4987018"/>
          <a:ext cx="1971891" cy="2149147"/>
          <a:chOff x="6568049" y="3593898"/>
          <a:chExt cx="1971891" cy="2149147"/>
        </a:xfrm>
      </xdr:grpSpPr>
      <xdr:sp macro="" textlink="">
        <xdr:nvSpPr>
          <xdr:cNvPr id="61" name="TextBox 60">
            <a:extLst>
              <a:ext uri="{FF2B5EF4-FFF2-40B4-BE49-F238E27FC236}">
                <a16:creationId xmlns:a16="http://schemas.microsoft.com/office/drawing/2014/main" xmlns="" id="{00000000-0008-0000-0000-00003D000000}"/>
              </a:ext>
            </a:extLst>
          </xdr:cNvPr>
          <xdr:cNvSpPr txBox="1"/>
        </xdr:nvSpPr>
        <xdr:spPr>
          <a:xfrm>
            <a:off x="6568049" y="3593898"/>
            <a:ext cx="1364028" cy="23980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uk-UA" sz="1000">
                <a:solidFill>
                  <a:srgbClr val="373535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Свердління фасаду</a:t>
            </a:r>
          </a:p>
        </xdr:txBody>
      </xdr:sp>
      <xdr:grpSp>
        <xdr:nvGrpSpPr>
          <xdr:cNvPr id="62" name="Групувати 61">
            <a:extLst>
              <a:ext uri="{FF2B5EF4-FFF2-40B4-BE49-F238E27FC236}">
                <a16:creationId xmlns:a16="http://schemas.microsoft.com/office/drawing/2014/main" xmlns="" id="{00000000-0008-0000-0000-00003E000000}"/>
              </a:ext>
            </a:extLst>
          </xdr:cNvPr>
          <xdr:cNvGrpSpPr/>
        </xdr:nvGrpSpPr>
        <xdr:grpSpPr>
          <a:xfrm>
            <a:off x="6698916" y="3943149"/>
            <a:ext cx="1841024" cy="1799896"/>
            <a:chOff x="6698916" y="3943149"/>
            <a:chExt cx="1841024" cy="1799896"/>
          </a:xfrm>
        </xdr:grpSpPr>
        <xdr:sp macro="" textlink="">
          <xdr:nvSpPr>
            <xdr:cNvPr id="63" name="Speech Bubble: Rectangle 19">
              <a:extLst>
                <a:ext uri="{FF2B5EF4-FFF2-40B4-BE49-F238E27FC236}">
                  <a16:creationId xmlns:a16="http://schemas.microsoft.com/office/drawing/2014/main" xmlns="" id="{00000000-0008-0000-0000-00003F000000}"/>
                </a:ext>
              </a:extLst>
            </xdr:cNvPr>
            <xdr:cNvSpPr/>
          </xdr:nvSpPr>
          <xdr:spPr>
            <a:xfrm>
              <a:off x="6698916" y="3943149"/>
              <a:ext cx="1841024" cy="1799896"/>
            </a:xfrm>
            <a:prstGeom prst="wedgeRectCallout">
              <a:avLst>
                <a:gd name="adj1" fmla="val -140880"/>
                <a:gd name="adj2" fmla="val 14114"/>
              </a:avLst>
            </a:prstGeom>
            <a:noFill/>
            <a:ln w="6350"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uk-UA" sz="1100"/>
            </a:p>
          </xdr:txBody>
        </xdr:sp>
        <xdr:pic>
          <xdr:nvPicPr>
            <xdr:cNvPr id="64" name="Picture 20">
              <a:extLst>
                <a:ext uri="{FF2B5EF4-FFF2-40B4-BE49-F238E27FC236}">
                  <a16:creationId xmlns:a16="http://schemas.microsoft.com/office/drawing/2014/main" xmlns="" id="{00000000-0008-0000-0000-000040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950083" y="4134970"/>
              <a:ext cx="1259295" cy="1440000"/>
            </a:xfrm>
            <a:prstGeom prst="rect">
              <a:avLst/>
            </a:prstGeom>
          </xdr:spPr>
        </xdr:pic>
        <xdr:sp macro="" textlink="$C$30">
          <xdr:nvSpPr>
            <xdr:cNvPr id="65" name="TextBox 64">
              <a:extLst>
                <a:ext uri="{FF2B5EF4-FFF2-40B4-BE49-F238E27FC236}">
                  <a16:creationId xmlns:a16="http://schemas.microsoft.com/office/drawing/2014/main" xmlns="" id="{00000000-0008-0000-0000-000041000000}"/>
                </a:ext>
              </a:extLst>
            </xdr:cNvPr>
            <xdr:cNvSpPr txBox="1"/>
          </xdr:nvSpPr>
          <xdr:spPr>
            <a:xfrm>
              <a:off x="7875569" y="4700650"/>
              <a:ext cx="527067" cy="32829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overflow" horzOverflow="overflow" wrap="none" rtlCol="0" anchor="ctr">
              <a:spAutoFit/>
            </a:bodyPr>
            <a:lstStyle/>
            <a:p>
              <a:pPr marL="0" indent="0" algn="ctr"/>
              <a:fld id="{31E9B843-4C53-48A5-BFA7-B8B426A2D30C}" type="TxLink">
                <a:rPr lang="en-US" sz="1600" b="1" i="0" u="none" strike="noStrike">
                  <a:solidFill>
                    <a:schemeClr val="bg2"/>
                  </a:solidFill>
                  <a:latin typeface="Arial"/>
                  <a:ea typeface="+mn-ea"/>
                  <a:cs typeface="Arial"/>
                </a:rPr>
                <a:pPr marL="0" indent="0" algn="ctr"/>
                <a:t>177</a:t>
              </a:fld>
              <a:endParaRPr lang="uk-UA" sz="1600" b="1" i="0" u="none" strike="noStrike">
                <a:solidFill>
                  <a:schemeClr val="bg2"/>
                </a:solidFill>
                <a:latin typeface="Arial"/>
                <a:ea typeface="+mn-ea"/>
                <a:cs typeface="Arial"/>
              </a:endParaRPr>
            </a:p>
          </xdr:txBody>
        </xdr:sp>
        <xdr:sp macro="" textlink="$C$13">
          <xdr:nvSpPr>
            <xdr:cNvPr id="66" name="TextBox 65">
              <a:extLst>
                <a:ext uri="{FF2B5EF4-FFF2-40B4-BE49-F238E27FC236}">
                  <a16:creationId xmlns:a16="http://schemas.microsoft.com/office/drawing/2014/main" xmlns="" id="{00000000-0008-0000-0000-000042000000}"/>
                </a:ext>
              </a:extLst>
            </xdr:cNvPr>
            <xdr:cNvSpPr txBox="1"/>
          </xdr:nvSpPr>
          <xdr:spPr>
            <a:xfrm>
              <a:off x="7788990" y="5188773"/>
              <a:ext cx="128368" cy="132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overflow" horzOverflow="overflow" wrap="none" lIns="0" tIns="0" rIns="0" bIns="0" rtlCol="0" anchor="ctr">
              <a:spAutoFit/>
            </a:bodyPr>
            <a:lstStyle/>
            <a:p>
              <a:pPr marL="0" indent="0" algn="ctr"/>
              <a:fld id="{F2BCDC08-8F25-4811-AE0C-17B03BC0341B}" type="TxLink">
                <a:rPr lang="en-US" sz="900" b="0" i="0" u="none" strike="noStrike">
                  <a:solidFill>
                    <a:srgbClr val="000000"/>
                  </a:solidFill>
                  <a:latin typeface="Arial"/>
                  <a:ea typeface="+mn-ea"/>
                  <a:cs typeface="Arial"/>
                </a:rPr>
                <a:pPr marL="0" indent="0" algn="ctr"/>
                <a:t>18</a:t>
              </a:fld>
              <a:endParaRPr lang="uk-UA" sz="1000" b="0" i="0" u="none" strike="noStrike">
                <a:solidFill>
                  <a:srgbClr val="373535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endParaRPr>
            </a:p>
          </xdr:txBody>
        </xdr:sp>
      </xdr:grpSp>
    </xdr:grpSp>
    <xdr:clientData/>
  </xdr:twoCellAnchor>
  <xdr:twoCellAnchor>
    <xdr:from>
      <xdr:col>7</xdr:col>
      <xdr:colOff>218313</xdr:colOff>
      <xdr:row>0</xdr:row>
      <xdr:rowOff>133350</xdr:rowOff>
    </xdr:from>
    <xdr:to>
      <xdr:col>13</xdr:col>
      <xdr:colOff>264643</xdr:colOff>
      <xdr:row>2</xdr:row>
      <xdr:rowOff>118110</xdr:rowOff>
    </xdr:to>
    <xdr:grpSp>
      <xdr:nvGrpSpPr>
        <xdr:cNvPr id="68" name="Групувати 67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GrpSpPr>
          <a:grpSpLocks noChangeAspect="1"/>
        </xdr:cNvGrpSpPr>
      </xdr:nvGrpSpPr>
      <xdr:grpSpPr>
        <a:xfrm>
          <a:off x="5866638" y="133350"/>
          <a:ext cx="2332330" cy="365760"/>
          <a:chOff x="5190363" y="57150"/>
          <a:chExt cx="2915412" cy="457200"/>
        </a:xfrm>
      </xdr:grpSpPr>
      <xdr:pic>
        <xdr:nvPicPr>
          <xdr:cNvPr id="5" name="Рисунок 4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190363" y="57150"/>
            <a:ext cx="457200" cy="457200"/>
          </a:xfrm>
          <a:prstGeom prst="rect">
            <a:avLst/>
          </a:prstGeom>
        </xdr:spPr>
      </xdr:pic>
      <xdr:pic>
        <xdr:nvPicPr>
          <xdr:cNvPr id="6" name="Рисунок 5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xmlns="" id="{00000000-0008-0000-00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465189" y="102870"/>
            <a:ext cx="365760" cy="365760"/>
          </a:xfrm>
          <a:prstGeom prst="rect">
            <a:avLst/>
          </a:prstGeom>
        </xdr:spPr>
      </xdr:pic>
      <xdr:pic>
        <xdr:nvPicPr>
          <xdr:cNvPr id="8" name="Рисунок 7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xmlns="" id="{00000000-0008-0000-00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011162" y="57150"/>
            <a:ext cx="457200" cy="457200"/>
          </a:xfrm>
          <a:prstGeom prst="rect">
            <a:avLst/>
          </a:prstGeom>
        </xdr:spPr>
      </xdr:pic>
      <xdr:pic>
        <xdr:nvPicPr>
          <xdr:cNvPr id="9" name="Рисунок 8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xmlns="" id="{00000000-0008-0000-00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648575" y="57150"/>
            <a:ext cx="457200" cy="457200"/>
          </a:xfrm>
          <a:prstGeom prst="rect">
            <a:avLst/>
          </a:prstGeom>
        </xdr:spPr>
      </xdr:pic>
      <xdr:pic macro="[0]!One_Click_Print">
        <xdr:nvPicPr>
          <xdr:cNvPr id="67" name="Рисунок 66" descr="Попередній перегляд друку" title="Попередній перегляд друку">
            <a:extLst>
              <a:ext uri="{FF2B5EF4-FFF2-40B4-BE49-F238E27FC236}">
                <a16:creationId xmlns:a16="http://schemas.microsoft.com/office/drawing/2014/main" xmlns="" id="{00000000-0008-0000-0000-00004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27776" y="57150"/>
            <a:ext cx="457200" cy="457200"/>
          </a:xfrm>
          <a:prstGeom prst="rect">
            <a:avLst/>
          </a:prstGeom>
        </xdr:spPr>
      </xdr:pic>
    </xdr:grpSp>
    <xdr:clientData fPrintsWithSheet="0"/>
  </xdr:twoCellAnchor>
  <xdr:twoCellAnchor>
    <xdr:from>
      <xdr:col>4</xdr:col>
      <xdr:colOff>485775</xdr:colOff>
      <xdr:row>0</xdr:row>
      <xdr:rowOff>95664</xdr:rowOff>
    </xdr:from>
    <xdr:to>
      <xdr:col>6</xdr:col>
      <xdr:colOff>104775</xdr:colOff>
      <xdr:row>2</xdr:row>
      <xdr:rowOff>95664</xdr:rowOff>
    </xdr:to>
    <xdr:sp macro="[0]!ResetSheet" textlink="">
      <xdr:nvSpPr>
        <xdr:cNvPr id="69" name="Rectangle: Rounded Corners 1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/>
      </xdr:nvSpPr>
      <xdr:spPr>
        <a:xfrm flipH="1">
          <a:off x="4467225" y="95664"/>
          <a:ext cx="904875" cy="381000"/>
        </a:xfrm>
        <a:prstGeom prst="roundRect">
          <a:avLst/>
        </a:prstGeom>
        <a:gradFill flip="none" rotWithShape="1">
          <a:gsLst>
            <a:gs pos="0">
              <a:schemeClr val="tx1">
                <a:lumMod val="60000"/>
                <a:lumOff val="40000"/>
              </a:schemeClr>
            </a:gs>
            <a:gs pos="100000">
              <a:schemeClr val="bg1">
                <a:lumMod val="95000"/>
              </a:schemeClr>
            </a:gs>
          </a:gsLst>
          <a:lin ang="13500000" scaled="1"/>
          <a:tileRect/>
        </a:gradFill>
        <a:ln>
          <a:noFill/>
        </a:ln>
        <a:effectLst/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uk-UA" sz="1100" b="1">
              <a:solidFill>
                <a:schemeClr val="tx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Очистити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458066</xdr:colOff>
      <xdr:row>8</xdr:row>
      <xdr:rowOff>98714</xdr:rowOff>
    </xdr:from>
    <xdr:to>
      <xdr:col>35</xdr:col>
      <xdr:colOff>419101</xdr:colOff>
      <xdr:row>43</xdr:row>
      <xdr:rowOff>98714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9131"/>
        <a:stretch/>
      </xdr:blipFill>
      <xdr:spPr>
        <a:xfrm>
          <a:off x="18157248" y="2038350"/>
          <a:ext cx="6022398" cy="848590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result" displayName="result" ref="A1:H9" totalsRowShown="0" headerRowDxfId="67" dataDxfId="66">
  <autoFilter ref="A1:H9"/>
  <tableColumns count="8">
    <tableColumn id="1" name="ID" dataDxfId="65"/>
    <tableColumn id="2" name="KH (мм)" dataDxfId="64">
      <calculatedColumnFormula>IFERROR(INDEX(fold_calc!$S$11:$S$44,MATCH(SMALL(fold_calc!$R$11:$R$44,$A2),fold_calc!$R$11:$R$44,0)),"")</calculatedColumnFormula>
    </tableColumn>
    <tableColumn id="3" name="FW (кг)" dataDxfId="63">
      <calculatedColumnFormula>IFERROR(INDEX(fold_calc!$T$11:$T$44,MATCH(SMALL(fold_calc!$R$11:$R$44,$A2),fold_calc!$R$11:$R$44,0)),"")</calculatedColumnFormula>
    </tableColumn>
    <tableColumn id="4" name="Модель" dataDxfId="62">
      <calculatedColumnFormula array="1">IFERROR(INDEX(fold_calc!$O$11:$O$44,MATCH(B2&amp;C2,fold_calc!$C$11:$C$44&amp;fold_calc!$F$11:$F$44,0)),"")</calculatedColumnFormula>
    </tableColumn>
    <tableColumn id="5" name="Y (мм)" dataDxfId="61">
      <calculatedColumnFormula>IFERROR(INDEX(fold_calc!$U$11:$U$44,MATCH(SMALL(fold_calc!$R$11:$R$44,A2),fold_calc!$R$11:$R$44,0)),"")</calculatedColumnFormula>
    </tableColumn>
    <tableColumn id="6" name="X (мм)" dataDxfId="60">
      <calculatedColumnFormula>IFERROR(INDEX(fold_calc!$V$11:$V$44,MATCH(SMALL(fold_calc!$R$11:$R$44,A2),fold_calc!$R$11:$R$44,0)),"")</calculatedColumnFormula>
    </tableColumn>
    <tableColumn id="7" name="Q" dataDxfId="59">
      <calculatedColumnFormula>IFERROR(INDEX(fold_calc!$W$11:$W$44,MATCH(SMALL(fold_calc!$R$11:$R$44,A2),fold_calc!$R$11:$R$44,0)),"")</calculatedColumnFormula>
    </tableColumn>
    <tableColumn id="8" name="Коментар" dataDxfId="58">
      <calculatedColumnFormula>IF(G2=MAX($G$2:$G$9),"Рекомендована модель","")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free_fold_data" displayName="free_fold_data" ref="A1:J12" totalsRowShown="0" headerRowDxfId="57" dataDxfId="55" headerRowBorderDxfId="56" tableBorderDxfId="54" totalsRowBorderDxfId="53">
  <autoFilter ref="A1:J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10">
    <tableColumn id="1" name="висота корпусу" dataDxfId="52"/>
    <tableColumn id="2" name="β" dataDxfId="51"/>
    <tableColumn id="3" name="Q" dataDxfId="50"/>
    <tableColumn id="4" name="R" dataDxfId="49"/>
    <tableColumn id="5" name="S" dataDxfId="48"/>
    <tableColumn id="6" name="T" dataDxfId="47"/>
    <tableColumn id="7" name="U" dataDxfId="46"/>
    <tableColumn id="8" name="V" dataDxfId="45"/>
    <tableColumn id="9" name="W" dataDxfId="44"/>
    <tableColumn id="10" name="LEN" dataDxfId="43">
      <calculatedColumnFormula>LEN(free_fold_data[[#This Row],[висота корпусу]])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8" name="calc_data" displayName="calc_data" ref="B10:Y44" totalsRowShown="0" headerRowDxfId="36" dataDxfId="34" headerRowBorderDxfId="35" tableBorderDxfId="33" totalsRowBorderDxfId="32">
  <autoFilter ref="B10:Y4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</autoFilter>
  <tableColumns count="24">
    <tableColumn id="1" name="KG" dataDxfId="31">
      <calculatedColumnFormula>AND($D$4&gt;=$D11,$D$4&lt;=$E11,$D$5&lt;=$H11,$D$5&gt;=$G11)</calculatedColumnFormula>
    </tableColumn>
    <tableColumn id="2" name="KH" dataDxfId="30"/>
    <tableColumn id="3" name="KH min" dataDxfId="29"/>
    <tableColumn id="4" name="KH max" dataDxfId="28"/>
    <tableColumn id="5" name="FW" dataDxfId="27"/>
    <tableColumn id="6" name="FW min" dataDxfId="26"/>
    <tableColumn id="7" name="FW max" dataDxfId="25"/>
    <tableColumn id="8" name="Q" dataDxfId="24">
      <calculatedColumnFormula>VLOOKUP(C11,calc_step_2!$A:$D,3,FALSE)</calculatedColumnFormula>
    </tableColumn>
    <tableColumn id="9" name="R" dataDxfId="23">
      <calculatedColumnFormula>VLOOKUP(C11,calc_step_2!$A:$D,4,FALSE)</calculatedColumnFormula>
    </tableColumn>
    <tableColumn id="10" name="S" dataDxfId="22">
      <calculatedColumnFormula>VLOOKUP(C11,calc_step_2!$A:$E,5,FALSE)</calculatedColumnFormula>
    </tableColumn>
    <tableColumn id="11" name="сірі заглушки" dataDxfId="21"/>
    <tableColumn id="12" name="білі заглушки" dataDxfId="20"/>
    <tableColumn id="13" name="антрацит" dataDxfId="19"/>
    <tableColumn id="14" name="model" dataDxfId="18"/>
    <tableColumn id="15" name="ціна" dataDxfId="17"/>
    <tableColumn id="16" name="індекс" dataDxfId="16"/>
    <tableColumn id="17" name="SMALL(fx)" dataDxfId="15">
      <calculatedColumnFormula>IF($S11="","",VLOOKUP($S11,$C11:$Q11,R$8,FALSE))</calculatedColumnFormula>
    </tableColumn>
    <tableColumn id="18" name="KH2" dataDxfId="14">
      <calculatedColumnFormula>IF(B11=$S$8,VLOOKUP($S$8,B11:P11,2,FALSE),"")</calculatedColumnFormula>
    </tableColumn>
    <tableColumn id="19" name="FW2" dataDxfId="13">
      <calculatedColumnFormula>IF($S11="","",VLOOKUP($S11,$C11:$P11,T$8,FALSE))</calculatedColumnFormula>
    </tableColumn>
    <tableColumn id="20" name="Y" dataDxfId="12">
      <calculatedColumnFormula>IF($S11="","",(I11*$D$4)-J11-$D$2)</calculatedColumnFormula>
    </tableColumn>
    <tableColumn id="21" name="X" dataDxfId="11">
      <calculatedColumnFormula>IF($S11="","",$D$4-U11-K11-($D$2+$D$3)+$D$6)</calculatedColumnFormula>
    </tableColumn>
    <tableColumn id="22" name="Q2" dataDxfId="10">
      <calculatedColumnFormula>IF(R11="","",((1-G11/$D$5)+(1-$D$5/H11))/2)</calculatedColumnFormula>
    </tableColumn>
    <tableColumn id="23" name="Qmin" dataDxfId="9">
      <calculatedColumnFormula>IF(R11="","",(1-G11/$D$5))</calculatedColumnFormula>
    </tableColumn>
    <tableColumn id="24" name="Qmax" dataDxfId="8">
      <calculatedColumnFormula>IF(R11="","",(1-$D$5/H11))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36" name="material_list" displayName="material_list" ref="A1:F6" totalsRowShown="0" headerRowBorderDxfId="7" tableBorderDxfId="6">
  <autoFilter ref="A1:F6"/>
  <sortState ref="A2:F6">
    <sortCondition ref="A1:A6"/>
  </sortState>
  <tableColumns count="6">
    <tableColumn id="1" name="Тип матеріалу фасаду" dataDxfId="5"/>
    <tableColumn id="2" name="Kg, m3" dataDxfId="4"/>
    <tableColumn id="3" name="KGmin" dataDxfId="3"/>
    <tableColumn id="4" name="KGmax" dataDxfId="2"/>
    <tableColumn id="7" name="Опис" dataDxfId="1">
      <calculatedColumnFormula>CONCATENATE(A2,", ",B2," кг/м3")</calculatedColumnFormula>
    </tableColumn>
    <tableColumn id="8" name="1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Hafele">
      <a:dk1>
        <a:srgbClr val="5A5A5A"/>
      </a:dk1>
      <a:lt1>
        <a:srgbClr val="FFFFFF"/>
      </a:lt1>
      <a:dk2>
        <a:srgbClr val="8C2332"/>
      </a:dk2>
      <a:lt2>
        <a:srgbClr val="D20A28"/>
      </a:lt2>
      <a:accent1>
        <a:srgbClr val="000000"/>
      </a:accent1>
      <a:accent2>
        <a:srgbClr val="969696"/>
      </a:accent2>
      <a:accent3>
        <a:srgbClr val="D8D8D8"/>
      </a:accent3>
      <a:accent4>
        <a:srgbClr val="FFFFFF"/>
      </a:accent4>
      <a:accent5>
        <a:srgbClr val="FFFFFF"/>
      </a:accent5>
      <a:accent6>
        <a:srgbClr val="FFFFFF"/>
      </a:accent6>
      <a:hlink>
        <a:srgbClr val="D20A28"/>
      </a:hlink>
      <a:folHlink>
        <a:srgbClr val="8C2332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45"/>
  <sheetViews>
    <sheetView tabSelected="1" zoomScaleNormal="100" zoomScaleSheetLayoutView="85" workbookViewId="0">
      <selection activeCell="N5" sqref="N5"/>
    </sheetView>
  </sheetViews>
  <sheetFormatPr defaultRowHeight="15" customHeight="1" x14ac:dyDescent="0.25"/>
  <cols>
    <col min="1" max="1" width="2.5703125" style="116" customWidth="1"/>
    <col min="2" max="2" width="30.7109375" style="117" customWidth="1"/>
    <col min="3" max="3" width="15.7109375" style="117" customWidth="1"/>
    <col min="4" max="4" width="10.7109375" style="117" customWidth="1"/>
    <col min="5" max="5" width="13.5703125" style="118" customWidth="1"/>
    <col min="6" max="6" width="5.7109375" style="116" customWidth="1"/>
    <col min="7" max="7" width="5.7109375" style="119" customWidth="1"/>
    <col min="8" max="8" width="5.7109375" style="120" customWidth="1"/>
    <col min="9" max="11" width="5.7109375" style="116" customWidth="1"/>
    <col min="12" max="12" width="5.7109375" style="120" customWidth="1"/>
    <col min="13" max="22" width="5.7109375" style="116" customWidth="1"/>
    <col min="23" max="23" width="2.5703125" style="116" customWidth="1"/>
    <col min="24" max="59" width="5.7109375" style="116" customWidth="1"/>
    <col min="60" max="16384" width="9.140625" style="116"/>
  </cols>
  <sheetData>
    <row r="1" spans="1:23" ht="15" customHeight="1" x14ac:dyDescent="0.25">
      <c r="A1" s="65"/>
      <c r="B1" s="68"/>
      <c r="C1" s="68"/>
      <c r="D1" s="68"/>
      <c r="E1" s="69"/>
      <c r="F1" s="65"/>
      <c r="G1" s="70"/>
      <c r="H1" s="71"/>
      <c r="I1" s="65"/>
      <c r="J1" s="65"/>
      <c r="K1" s="65"/>
      <c r="L1" s="71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</row>
    <row r="2" spans="1:23" ht="15" customHeight="1" x14ac:dyDescent="0.25">
      <c r="A2" s="65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5"/>
      <c r="S2" s="65"/>
      <c r="T2" s="65"/>
      <c r="U2" s="65"/>
      <c r="V2" s="65"/>
      <c r="W2" s="65"/>
    </row>
    <row r="3" spans="1:23" ht="15" customHeight="1" x14ac:dyDescent="0.25">
      <c r="A3" s="65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5"/>
      <c r="S3" s="65"/>
      <c r="T3" s="65"/>
      <c r="U3" s="65"/>
      <c r="V3" s="65"/>
      <c r="W3" s="65"/>
    </row>
    <row r="4" spans="1:23" ht="15" customHeight="1" x14ac:dyDescent="0.25">
      <c r="A4" s="65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7"/>
      <c r="S4" s="67"/>
      <c r="T4" s="67"/>
      <c r="U4" s="67"/>
      <c r="V4" s="67"/>
      <c r="W4" s="65"/>
    </row>
    <row r="5" spans="1:23" ht="15" customHeight="1" x14ac:dyDescent="0.25">
      <c r="A5" s="65"/>
      <c r="B5" s="97" t="s">
        <v>270</v>
      </c>
      <c r="C5" s="68"/>
      <c r="D5" s="68"/>
      <c r="E5" s="69"/>
      <c r="F5" s="65"/>
      <c r="G5" s="70"/>
      <c r="H5" s="71"/>
      <c r="I5" s="65"/>
      <c r="J5" s="65"/>
      <c r="K5" s="65"/>
      <c r="L5" s="71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</row>
    <row r="6" spans="1:23" ht="15" customHeight="1" x14ac:dyDescent="0.25">
      <c r="A6" s="65"/>
      <c r="B6" s="98" t="s">
        <v>284</v>
      </c>
      <c r="C6" s="86"/>
      <c r="D6" s="72"/>
      <c r="E6" s="69"/>
      <c r="F6" s="65"/>
      <c r="G6" s="70"/>
      <c r="H6" s="71"/>
      <c r="I6" s="65"/>
      <c r="J6" s="65"/>
      <c r="K6" s="65"/>
      <c r="L6" s="71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</row>
    <row r="7" spans="1:23" ht="15" customHeight="1" x14ac:dyDescent="0.25">
      <c r="A7" s="65"/>
      <c r="B7" s="99" t="s">
        <v>274</v>
      </c>
      <c r="C7" s="87">
        <v>800</v>
      </c>
      <c r="D7" s="68"/>
      <c r="E7" s="69"/>
      <c r="F7" s="65"/>
      <c r="G7" s="70"/>
      <c r="H7" s="71"/>
      <c r="I7" s="65"/>
      <c r="J7" s="65"/>
      <c r="K7" s="65"/>
      <c r="L7" s="71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</row>
    <row r="8" spans="1:23" ht="15" customHeight="1" x14ac:dyDescent="0.25">
      <c r="A8" s="65"/>
      <c r="B8" s="99" t="s">
        <v>279</v>
      </c>
      <c r="C8" s="87">
        <v>18</v>
      </c>
      <c r="D8" s="68"/>
      <c r="E8" s="69"/>
      <c r="F8" s="65"/>
      <c r="G8" s="70"/>
      <c r="H8" s="71"/>
      <c r="I8" s="65"/>
      <c r="J8" s="65"/>
      <c r="K8" s="65"/>
      <c r="L8" s="71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</row>
    <row r="9" spans="1:23" ht="15" customHeight="1" x14ac:dyDescent="0.25">
      <c r="A9" s="65"/>
      <c r="B9" s="99" t="s">
        <v>278</v>
      </c>
      <c r="C9" s="87">
        <v>0</v>
      </c>
      <c r="D9" s="68"/>
      <c r="E9" s="69"/>
      <c r="F9" s="65"/>
      <c r="G9" s="70"/>
      <c r="H9" s="71"/>
      <c r="I9" s="65"/>
      <c r="J9" s="65"/>
      <c r="K9" s="65"/>
      <c r="L9" s="71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</row>
    <row r="10" spans="1:23" ht="15" customHeight="1" x14ac:dyDescent="0.25">
      <c r="A10" s="65"/>
      <c r="B10" s="99" t="s">
        <v>275</v>
      </c>
      <c r="C10" s="87">
        <v>18</v>
      </c>
      <c r="D10" s="68"/>
      <c r="E10" s="69"/>
      <c r="F10" s="65"/>
      <c r="G10" s="70"/>
      <c r="H10" s="71"/>
      <c r="I10" s="65"/>
      <c r="J10" s="65"/>
      <c r="K10" s="65"/>
      <c r="L10" s="71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</row>
    <row r="11" spans="1:23" ht="15" customHeight="1" x14ac:dyDescent="0.25">
      <c r="A11" s="65"/>
      <c r="B11" s="99" t="s">
        <v>280</v>
      </c>
      <c r="C11" s="87">
        <v>18</v>
      </c>
      <c r="D11" s="68"/>
      <c r="E11" s="69"/>
      <c r="F11" s="65"/>
      <c r="G11" s="70"/>
      <c r="H11" s="71"/>
      <c r="I11" s="65"/>
      <c r="J11" s="65"/>
      <c r="K11" s="65"/>
      <c r="L11" s="71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</row>
    <row r="12" spans="1:23" ht="15" customHeight="1" x14ac:dyDescent="0.25">
      <c r="A12" s="65"/>
      <c r="B12" s="99" t="s">
        <v>281</v>
      </c>
      <c r="C12" s="87">
        <v>0</v>
      </c>
      <c r="D12" s="68"/>
      <c r="E12" s="69"/>
      <c r="F12" s="65"/>
      <c r="G12" s="70"/>
      <c r="H12" s="71"/>
      <c r="I12" s="65"/>
      <c r="J12" s="65"/>
      <c r="K12" s="65"/>
      <c r="L12" s="71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</row>
    <row r="13" spans="1:23" ht="15" customHeight="1" x14ac:dyDescent="0.25">
      <c r="A13" s="65"/>
      <c r="B13" s="100" t="s">
        <v>282</v>
      </c>
      <c r="C13" s="88">
        <v>18</v>
      </c>
      <c r="D13" s="68"/>
      <c r="E13" s="69"/>
      <c r="F13" s="65"/>
      <c r="G13" s="70"/>
      <c r="H13" s="71"/>
      <c r="I13" s="65"/>
      <c r="J13" s="65"/>
      <c r="K13" s="65"/>
      <c r="L13" s="71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</row>
    <row r="14" spans="1:23" ht="15" customHeight="1" x14ac:dyDescent="0.25">
      <c r="A14" s="65"/>
      <c r="B14" s="97"/>
      <c r="C14" s="89"/>
      <c r="D14" s="68"/>
      <c r="E14" s="69"/>
      <c r="F14" s="65"/>
      <c r="G14" s="70"/>
      <c r="H14" s="71"/>
      <c r="I14" s="65"/>
      <c r="J14" s="65"/>
      <c r="K14" s="65"/>
      <c r="L14" s="71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</row>
    <row r="15" spans="1:23" ht="15" customHeight="1" x14ac:dyDescent="0.25">
      <c r="A15" s="65"/>
      <c r="B15" s="111" t="s">
        <v>283</v>
      </c>
      <c r="C15" s="112"/>
      <c r="D15" s="72"/>
      <c r="E15" s="69"/>
      <c r="F15" s="65"/>
      <c r="G15" s="70"/>
      <c r="H15" s="71"/>
      <c r="I15" s="65"/>
      <c r="J15" s="65"/>
      <c r="K15" s="65"/>
      <c r="L15" s="71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</row>
    <row r="16" spans="1:23" ht="15" customHeight="1" x14ac:dyDescent="0.25">
      <c r="A16" s="65"/>
      <c r="B16" s="105" t="s">
        <v>295</v>
      </c>
      <c r="C16" s="109" t="s">
        <v>320</v>
      </c>
      <c r="D16" s="68"/>
      <c r="E16" s="69"/>
      <c r="F16" s="65"/>
      <c r="G16" s="70"/>
      <c r="H16" s="71"/>
      <c r="I16" s="65"/>
      <c r="J16" s="65"/>
      <c r="K16" s="65"/>
      <c r="L16" s="71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</row>
    <row r="17" spans="1:23" ht="15" customHeight="1" x14ac:dyDescent="0.25">
      <c r="A17" s="65"/>
      <c r="B17" s="105" t="s">
        <v>294</v>
      </c>
      <c r="C17" s="109" t="s">
        <v>320</v>
      </c>
      <c r="D17" s="68"/>
      <c r="E17" s="69"/>
      <c r="F17" s="65"/>
      <c r="G17" s="70"/>
      <c r="H17" s="71"/>
      <c r="I17" s="65"/>
      <c r="J17" s="65"/>
      <c r="K17" s="65"/>
      <c r="L17" s="71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</row>
    <row r="18" spans="1:23" ht="15" customHeight="1" x14ac:dyDescent="0.25">
      <c r="A18" s="65"/>
      <c r="B18" s="105" t="s">
        <v>296</v>
      </c>
      <c r="C18" s="109" t="s">
        <v>320</v>
      </c>
      <c r="D18" s="68"/>
      <c r="E18" s="69"/>
      <c r="F18" s="65"/>
      <c r="G18" s="70"/>
      <c r="H18" s="71"/>
      <c r="I18" s="65"/>
      <c r="J18" s="65"/>
      <c r="K18" s="65"/>
      <c r="L18" s="71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</row>
    <row r="19" spans="1:23" ht="15" customHeight="1" x14ac:dyDescent="0.25">
      <c r="A19" s="65"/>
      <c r="B19" s="105" t="s">
        <v>218</v>
      </c>
      <c r="C19" s="110" t="s">
        <v>320</v>
      </c>
      <c r="D19" s="68"/>
      <c r="E19" s="69"/>
      <c r="F19" s="65"/>
      <c r="G19" s="70"/>
      <c r="H19" s="71"/>
      <c r="I19" s="65"/>
      <c r="J19" s="65"/>
      <c r="K19" s="65"/>
      <c r="L19" s="71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</row>
    <row r="20" spans="1:23" ht="15" customHeight="1" x14ac:dyDescent="0.25">
      <c r="A20" s="65"/>
      <c r="B20" s="115" t="s">
        <v>293</v>
      </c>
      <c r="C20" s="109"/>
      <c r="D20" s="73"/>
      <c r="E20" s="69"/>
      <c r="F20" s="65"/>
      <c r="G20" s="70"/>
      <c r="H20" s="71"/>
      <c r="I20" s="65"/>
      <c r="J20" s="65"/>
      <c r="K20" s="65"/>
      <c r="L20" s="71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</row>
    <row r="21" spans="1:23" ht="15" customHeight="1" x14ac:dyDescent="0.25">
      <c r="A21" s="65"/>
      <c r="B21" s="111" t="s">
        <v>217</v>
      </c>
      <c r="C21" s="114">
        <v>6</v>
      </c>
      <c r="D21" s="74"/>
      <c r="E21" s="69"/>
      <c r="F21" s="65"/>
      <c r="G21" s="70"/>
      <c r="H21" s="71"/>
      <c r="I21" s="65"/>
      <c r="J21" s="65"/>
      <c r="K21" s="65"/>
      <c r="L21" s="71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</row>
    <row r="22" spans="1:23" ht="15" customHeight="1" x14ac:dyDescent="0.25">
      <c r="A22" s="65"/>
      <c r="B22" s="101"/>
      <c r="C22" s="90"/>
      <c r="D22" s="68"/>
      <c r="E22" s="75"/>
      <c r="F22" s="65"/>
      <c r="G22" s="70"/>
      <c r="H22" s="71"/>
      <c r="I22" s="65"/>
      <c r="J22" s="65"/>
      <c r="K22" s="65"/>
      <c r="L22" s="71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</row>
    <row r="23" spans="1:23" ht="15" customHeight="1" x14ac:dyDescent="0.25">
      <c r="A23" s="65"/>
      <c r="B23" s="111" t="s">
        <v>235</v>
      </c>
      <c r="C23" s="113" t="str">
        <f>IFERROR(INDEX(result[Модель],MATCH("Рекомендована модель",result[Коментар],0)),"")</f>
        <v>H3fo</v>
      </c>
      <c r="D23" s="68"/>
      <c r="E23" s="76"/>
      <c r="F23" s="65"/>
      <c r="G23" s="70"/>
      <c r="H23" s="71"/>
      <c r="I23" s="65"/>
      <c r="J23" s="65"/>
      <c r="K23" s="65"/>
      <c r="L23" s="71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</row>
    <row r="24" spans="1:23" ht="15" customHeight="1" x14ac:dyDescent="0.25">
      <c r="A24" s="65"/>
      <c r="B24" s="99" t="s">
        <v>236</v>
      </c>
      <c r="C24" s="91" t="str">
        <f>IFERROR(INDEX(calc_data[сірі заглушки],MATCH($C$23,calc_data[model],0)),"")</f>
        <v>372.37.562</v>
      </c>
      <c r="D24" s="68"/>
      <c r="E24" s="76"/>
      <c r="F24" s="65"/>
      <c r="G24" s="70"/>
      <c r="H24" s="71"/>
      <c r="I24" s="65"/>
      <c r="J24" s="65"/>
      <c r="K24" s="65"/>
      <c r="L24" s="71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</row>
    <row r="25" spans="1:23" ht="15" customHeight="1" x14ac:dyDescent="0.25">
      <c r="A25" s="65"/>
      <c r="B25" s="99" t="s">
        <v>237</v>
      </c>
      <c r="C25" s="91" t="str">
        <f>IFERROR(INDEX(calc_data[білі заглушки],MATCH($C$23,calc_data[model],0)),"")</f>
        <v>372.37.762</v>
      </c>
      <c r="D25" s="68"/>
      <c r="E25" s="77"/>
      <c r="F25" s="65"/>
      <c r="G25" s="70"/>
      <c r="H25" s="71"/>
      <c r="I25" s="65"/>
      <c r="J25" s="65"/>
      <c r="K25" s="65"/>
      <c r="L25" s="71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</row>
    <row r="26" spans="1:23" ht="15" customHeight="1" x14ac:dyDescent="0.25">
      <c r="A26" s="65"/>
      <c r="B26" s="107" t="s">
        <v>238</v>
      </c>
      <c r="C26" s="108" t="str">
        <f>IFERROR(INDEX(calc_data[антрацит],MATCH($C$23,calc_data[model],0)),"")</f>
        <v>372.37.330</v>
      </c>
      <c r="D26" s="78"/>
      <c r="E26" s="79"/>
      <c r="F26" s="65"/>
      <c r="G26" s="70"/>
      <c r="H26" s="71"/>
      <c r="I26" s="65"/>
      <c r="J26" s="65"/>
      <c r="K26" s="65"/>
      <c r="L26" s="71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</row>
    <row r="27" spans="1:23" ht="15" customHeight="1" x14ac:dyDescent="0.25">
      <c r="A27" s="65"/>
      <c r="B27" s="102"/>
      <c r="C27" s="92"/>
      <c r="D27" s="68"/>
      <c r="E27" s="69"/>
      <c r="F27" s="65"/>
      <c r="G27" s="70"/>
      <c r="H27" s="71"/>
      <c r="I27" s="65"/>
      <c r="J27" s="65"/>
      <c r="K27" s="65"/>
      <c r="L27" s="71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</row>
    <row r="28" spans="1:23" ht="15" customHeight="1" x14ac:dyDescent="0.25">
      <c r="A28" s="65"/>
      <c r="B28" s="103" t="s">
        <v>271</v>
      </c>
      <c r="C28" s="93"/>
      <c r="D28" s="68"/>
      <c r="E28" s="69"/>
      <c r="F28" s="65"/>
      <c r="G28" s="70"/>
      <c r="H28" s="71"/>
      <c r="I28" s="65"/>
      <c r="J28" s="65"/>
      <c r="K28" s="65"/>
      <c r="L28" s="71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</row>
    <row r="29" spans="1:23" ht="15" customHeight="1" x14ac:dyDescent="0.25">
      <c r="A29" s="65"/>
      <c r="B29" s="104" t="s">
        <v>268</v>
      </c>
      <c r="C29" s="94">
        <f>IFERROR(INDEX(result[Y (мм)],MATCH("Рекомендована модель",result[Коментар],0)),"Y")</f>
        <v>138</v>
      </c>
      <c r="D29" s="68"/>
      <c r="E29" s="69"/>
      <c r="F29" s="65"/>
      <c r="G29" s="70"/>
      <c r="H29" s="71"/>
      <c r="I29" s="65"/>
      <c r="J29" s="65"/>
      <c r="K29" s="65"/>
      <c r="L29" s="71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</row>
    <row r="30" spans="1:23" ht="15" customHeight="1" x14ac:dyDescent="0.25">
      <c r="A30" s="65"/>
      <c r="B30" s="104" t="s">
        <v>269</v>
      </c>
      <c r="C30" s="94">
        <f>IFERROR(INDEX(result[X (мм)],MATCH("Рекомендована модель",result[Коментар],0)),"X")</f>
        <v>177</v>
      </c>
      <c r="D30" s="68"/>
      <c r="E30" s="69"/>
      <c r="F30" s="65"/>
      <c r="G30" s="70"/>
      <c r="H30" s="71"/>
      <c r="I30" s="65"/>
      <c r="J30" s="65"/>
      <c r="K30" s="65"/>
      <c r="L30" s="71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</row>
    <row r="31" spans="1:23" ht="15" customHeight="1" x14ac:dyDescent="0.25">
      <c r="A31" s="65"/>
      <c r="B31" s="105" t="s">
        <v>285</v>
      </c>
      <c r="C31" s="95">
        <f>IFERROR(calc_step_2!C23,"Q")</f>
        <v>1</v>
      </c>
      <c r="D31" s="68"/>
      <c r="E31" s="69"/>
      <c r="F31" s="65"/>
      <c r="G31" s="70"/>
      <c r="H31" s="71"/>
      <c r="I31" s="65"/>
      <c r="J31" s="65"/>
      <c r="K31" s="65"/>
      <c r="L31" s="71"/>
      <c r="M31" s="65"/>
      <c r="N31" s="65"/>
      <c r="O31" s="65"/>
      <c r="P31" s="65"/>
      <c r="Q31" s="65"/>
      <c r="R31" s="65"/>
      <c r="S31" s="65"/>
      <c r="T31" s="65"/>
      <c r="U31" s="65"/>
      <c r="V31" s="80"/>
      <c r="W31" s="65"/>
    </row>
    <row r="32" spans="1:23" ht="15" customHeight="1" x14ac:dyDescent="0.25">
      <c r="A32" s="65"/>
      <c r="B32" s="105" t="s">
        <v>286</v>
      </c>
      <c r="C32" s="95">
        <f>IFERROR(calc_step_2!D23,"R")</f>
        <v>644</v>
      </c>
      <c r="D32" s="68"/>
      <c r="E32" s="69"/>
      <c r="F32" s="65"/>
      <c r="G32" s="70"/>
      <c r="H32" s="71"/>
      <c r="I32" s="65"/>
      <c r="J32" s="65"/>
      <c r="K32" s="65"/>
      <c r="L32" s="71"/>
      <c r="M32" s="65"/>
      <c r="N32" s="65"/>
      <c r="O32" s="65"/>
      <c r="P32" s="65"/>
      <c r="Q32" s="65"/>
      <c r="R32" s="65"/>
      <c r="S32" s="81"/>
      <c r="T32" s="81"/>
      <c r="U32" s="81"/>
      <c r="V32" s="81"/>
      <c r="W32" s="65"/>
    </row>
    <row r="33" spans="1:23" ht="15" customHeight="1" x14ac:dyDescent="0.25">
      <c r="A33" s="65"/>
      <c r="B33" s="105" t="s">
        <v>287</v>
      </c>
      <c r="C33" s="95">
        <f>IFERROR(calc_step_2!E23,"S")</f>
        <v>467</v>
      </c>
      <c r="D33" s="68"/>
      <c r="E33" s="68"/>
      <c r="F33" s="65"/>
      <c r="G33" s="70"/>
      <c r="H33" s="71"/>
      <c r="I33" s="65"/>
      <c r="J33" s="65"/>
      <c r="K33" s="65"/>
      <c r="L33" s="71"/>
      <c r="M33" s="65"/>
      <c r="N33" s="65"/>
      <c r="O33" s="65"/>
      <c r="P33" s="65"/>
      <c r="Q33" s="65"/>
      <c r="R33" s="65"/>
      <c r="S33" s="82"/>
      <c r="T33" s="82"/>
      <c r="U33" s="65"/>
      <c r="V33" s="83"/>
      <c r="W33" s="65"/>
    </row>
    <row r="34" spans="1:23" ht="15" customHeight="1" x14ac:dyDescent="0.25">
      <c r="A34" s="65"/>
      <c r="B34" s="105" t="s">
        <v>292</v>
      </c>
      <c r="C34" s="95" t="str">
        <f>IFERROR(calc_step_2!B23,"β")</f>
        <v>102°</v>
      </c>
      <c r="D34" s="65"/>
      <c r="E34" s="65"/>
      <c r="F34" s="65"/>
      <c r="G34" s="70"/>
      <c r="H34" s="71"/>
      <c r="I34" s="65"/>
      <c r="J34" s="65"/>
      <c r="K34" s="65"/>
      <c r="L34" s="71"/>
      <c r="M34" s="65"/>
      <c r="N34" s="65"/>
      <c r="O34" s="65"/>
      <c r="P34" s="65"/>
      <c r="Q34" s="65"/>
      <c r="R34" s="65"/>
      <c r="S34" s="82"/>
      <c r="T34" s="82"/>
      <c r="U34" s="65"/>
      <c r="V34" s="83"/>
      <c r="W34" s="65"/>
    </row>
    <row r="35" spans="1:23" ht="15" customHeight="1" x14ac:dyDescent="0.25">
      <c r="A35" s="65"/>
      <c r="B35" s="105" t="s">
        <v>288</v>
      </c>
      <c r="C35" s="95">
        <f>IFERROR(calc_step_2!F23,"T")</f>
        <v>102</v>
      </c>
      <c r="D35" s="65"/>
      <c r="E35" s="65"/>
      <c r="F35" s="65"/>
      <c r="G35" s="70"/>
      <c r="H35" s="71"/>
      <c r="I35" s="65"/>
      <c r="J35" s="65"/>
      <c r="K35" s="65"/>
      <c r="L35" s="71"/>
      <c r="M35" s="65"/>
      <c r="N35" s="65"/>
      <c r="O35" s="65"/>
      <c r="P35" s="65"/>
      <c r="Q35" s="65"/>
      <c r="R35" s="65"/>
      <c r="S35" s="84"/>
      <c r="T35" s="84"/>
      <c r="U35" s="65"/>
      <c r="V35" s="85"/>
      <c r="W35" s="65"/>
    </row>
    <row r="36" spans="1:23" ht="15" customHeight="1" x14ac:dyDescent="0.25">
      <c r="A36" s="65"/>
      <c r="B36" s="105" t="s">
        <v>289</v>
      </c>
      <c r="C36" s="95">
        <f>IFERROR(calc_step_2!G23,"U")</f>
        <v>198</v>
      </c>
      <c r="D36" s="65"/>
      <c r="E36" s="65"/>
      <c r="F36" s="65"/>
      <c r="G36" s="70"/>
      <c r="H36" s="71"/>
      <c r="I36" s="65"/>
      <c r="J36" s="65"/>
      <c r="K36" s="65"/>
      <c r="L36" s="71"/>
      <c r="M36" s="65"/>
      <c r="N36" s="65"/>
      <c r="O36" s="65"/>
      <c r="P36" s="65"/>
      <c r="Q36" s="65"/>
      <c r="R36" s="65"/>
      <c r="S36" s="84"/>
      <c r="T36" s="84"/>
      <c r="U36" s="65"/>
      <c r="V36" s="85"/>
      <c r="W36" s="65"/>
    </row>
    <row r="37" spans="1:23" ht="15" customHeight="1" x14ac:dyDescent="0.25">
      <c r="A37" s="65"/>
      <c r="B37" s="105" t="s">
        <v>290</v>
      </c>
      <c r="C37" s="95">
        <f>IFERROR(calc_step_2!H23,"V")</f>
        <v>238</v>
      </c>
      <c r="D37" s="65"/>
      <c r="E37" s="65"/>
      <c r="F37" s="65"/>
      <c r="G37" s="70"/>
      <c r="H37" s="71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84"/>
      <c r="T37" s="84"/>
      <c r="U37" s="65"/>
      <c r="V37" s="85"/>
      <c r="W37" s="65"/>
    </row>
    <row r="38" spans="1:23" ht="15" customHeight="1" x14ac:dyDescent="0.25">
      <c r="A38" s="65"/>
      <c r="B38" s="106" t="s">
        <v>291</v>
      </c>
      <c r="C38" s="96">
        <f>IFERROR(calc_step_2!I23,"W")</f>
        <v>492</v>
      </c>
      <c r="D38" s="65"/>
      <c r="E38" s="65"/>
      <c r="F38" s="65"/>
      <c r="G38" s="70"/>
      <c r="H38" s="71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84"/>
      <c r="T38" s="84"/>
      <c r="U38" s="65"/>
      <c r="V38" s="85"/>
      <c r="W38" s="65"/>
    </row>
    <row r="39" spans="1:23" ht="15" customHeight="1" x14ac:dyDescent="0.25">
      <c r="A39" s="65"/>
      <c r="B39" s="65"/>
      <c r="C39" s="65"/>
      <c r="D39" s="65"/>
      <c r="E39" s="65"/>
      <c r="F39" s="65"/>
      <c r="G39" s="70"/>
      <c r="H39" s="71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84"/>
      <c r="T39" s="84"/>
      <c r="U39" s="65"/>
      <c r="V39" s="85"/>
      <c r="W39" s="65"/>
    </row>
    <row r="40" spans="1:23" ht="15" customHeight="1" x14ac:dyDescent="0.25">
      <c r="A40" s="65"/>
      <c r="B40" s="65"/>
      <c r="C40" s="65"/>
      <c r="D40" s="65"/>
      <c r="E40" s="65"/>
      <c r="F40" s="65"/>
      <c r="G40" s="70"/>
      <c r="H40" s="71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84"/>
      <c r="T40" s="84"/>
      <c r="U40" s="65"/>
      <c r="V40" s="85"/>
      <c r="W40" s="65"/>
    </row>
    <row r="41" spans="1:23" ht="15" customHeight="1" x14ac:dyDescent="0.25">
      <c r="A41" s="65"/>
      <c r="B41" s="65"/>
      <c r="C41" s="65"/>
      <c r="D41" s="65"/>
      <c r="E41" s="65"/>
      <c r="F41" s="65"/>
      <c r="G41" s="70"/>
      <c r="H41" s="71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84"/>
      <c r="T41" s="84"/>
      <c r="U41" s="65"/>
      <c r="V41" s="85"/>
      <c r="W41" s="65"/>
    </row>
    <row r="42" spans="1:23" ht="15" customHeight="1" x14ac:dyDescent="0.25">
      <c r="A42" s="65"/>
      <c r="B42" s="65"/>
      <c r="C42" s="65"/>
      <c r="D42" s="65"/>
      <c r="E42" s="65"/>
      <c r="F42" s="65"/>
      <c r="G42" s="70"/>
      <c r="H42" s="71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84"/>
      <c r="T42" s="84"/>
      <c r="U42" s="65"/>
      <c r="V42" s="85"/>
      <c r="W42" s="65"/>
    </row>
    <row r="43" spans="1:23" ht="15" customHeight="1" x14ac:dyDescent="0.25">
      <c r="A43" s="65"/>
      <c r="B43" s="65"/>
      <c r="C43" s="65"/>
      <c r="D43" s="65"/>
      <c r="E43" s="65"/>
      <c r="F43" s="65"/>
      <c r="G43" s="70"/>
      <c r="H43" s="71"/>
      <c r="I43" s="65"/>
      <c r="J43" s="65"/>
      <c r="K43" s="65"/>
      <c r="L43" s="71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</row>
    <row r="44" spans="1:23" ht="15" customHeight="1" x14ac:dyDescent="0.25">
      <c r="A44" s="65"/>
      <c r="B44" s="139" t="s">
        <v>297</v>
      </c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65"/>
    </row>
    <row r="45" spans="1:23" ht="15" customHeight="1" x14ac:dyDescent="0.25">
      <c r="A45" s="65"/>
      <c r="B45" s="68"/>
      <c r="C45" s="68"/>
      <c r="D45" s="68"/>
      <c r="E45" s="69"/>
      <c r="F45" s="65"/>
      <c r="G45" s="70"/>
      <c r="H45" s="71"/>
      <c r="I45" s="65"/>
      <c r="J45" s="65"/>
      <c r="K45" s="65"/>
      <c r="L45" s="71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</row>
  </sheetData>
  <sheetProtection password="D116" sheet="1" objects="1" scenarios="1" selectLockedCells="1" selectUnlockedCells="1"/>
  <mergeCells count="1">
    <mergeCell ref="B44:V44"/>
  </mergeCells>
  <conditionalFormatting sqref="C7">
    <cfRule type="cellIs" dxfId="71" priority="2" operator="equal">
      <formula>"KH"</formula>
    </cfRule>
  </conditionalFormatting>
  <conditionalFormatting sqref="C13">
    <cfRule type="cellIs" dxfId="70" priority="1" operator="equal">
      <formula>"A2"</formula>
    </cfRule>
  </conditionalFormatting>
  <printOptions horizontalCentered="1"/>
  <pageMargins left="0.39370078740157483" right="0.39370078740157483" top="0.78740157480314965" bottom="0.39370078740157483" header="0.19685039370078741" footer="0.19685039370078741"/>
  <pageSetup paperSize="9" scale="82" orientation="landscape" r:id="rId1"/>
  <headerFooter>
    <oddHeader>&amp;L&amp;"Arial,напівжирний"&amp;16Специфікація Free Fold
&amp;"Arial,звичайний"&amp;10Від: &amp;D&amp;R&amp;G</oddHeader>
    <oddFooter>&amp;R&amp;"Arial,звичайний"&amp;N/&amp;P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21"/>
  <sheetViews>
    <sheetView zoomScaleNormal="100" workbookViewId="0">
      <selection activeCell="H5" sqref="H5"/>
    </sheetView>
  </sheetViews>
  <sheetFormatPr defaultRowHeight="20.100000000000001" customHeight="1" x14ac:dyDescent="0.25"/>
  <cols>
    <col min="1" max="1" width="11.42578125" style="55" customWidth="1"/>
    <col min="2" max="2" width="15.7109375" style="55" customWidth="1"/>
    <col min="3" max="3" width="12.7109375" style="55" customWidth="1"/>
    <col min="4" max="4" width="10.7109375" style="55" customWidth="1"/>
    <col min="5" max="6" width="11.7109375" style="56" bestFit="1" customWidth="1"/>
    <col min="7" max="7" width="11.7109375" style="57" customWidth="1"/>
    <col min="8" max="8" width="26.7109375" style="58" bestFit="1" customWidth="1"/>
    <col min="9" max="16384" width="9.140625" style="59"/>
  </cols>
  <sheetData>
    <row r="1" spans="1:8" ht="20.100000000000001" customHeight="1" x14ac:dyDescent="0.25">
      <c r="A1" s="55" t="s">
        <v>272</v>
      </c>
      <c r="B1" s="55" t="s">
        <v>219</v>
      </c>
      <c r="C1" s="55" t="s">
        <v>158</v>
      </c>
      <c r="D1" s="55" t="s">
        <v>60</v>
      </c>
      <c r="E1" s="56" t="s">
        <v>161</v>
      </c>
      <c r="F1" s="56" t="s">
        <v>162</v>
      </c>
      <c r="G1" s="57" t="s">
        <v>91</v>
      </c>
      <c r="H1" s="58" t="s">
        <v>87</v>
      </c>
    </row>
    <row r="2" spans="1:8" ht="20.100000000000001" customHeight="1" x14ac:dyDescent="0.25">
      <c r="A2" s="13">
        <v>1</v>
      </c>
      <c r="B2" s="55" t="str">
        <f>IFERROR(INDEX(fold_calc!$S$11:$S$44,MATCH(SMALL(fold_calc!$R$11:$R$44,$A2),fold_calc!$R$11:$R$44,0)),"")</f>
        <v>770–840</v>
      </c>
      <c r="C2" s="55" t="str">
        <f>IFERROR(INDEX(fold_calc!$T$11:$T$44,MATCH(SMALL(fold_calc!$R$11:$R$44,$A2),fold_calc!$R$11:$R$44,0)),"")</f>
        <v>3,2–6,7</v>
      </c>
      <c r="D2" s="55" t="str">
        <f t="array" ref="D2">IFERROR(INDEX(fold_calc!$O$11:$O$44,MATCH(B2&amp;C2,fold_calc!$C$11:$C$44&amp;fold_calc!$F$11:$F$44,0)),"")</f>
        <v>H3fo</v>
      </c>
      <c r="E2" s="60">
        <f>IFERROR(INDEX(fold_calc!$U$11:$U$44,MATCH(SMALL(fold_calc!$R$11:$R$44,A2),fold_calc!$R$11:$R$44,0)),"")</f>
        <v>138</v>
      </c>
      <c r="F2" s="60">
        <f>IFERROR(INDEX(fold_calc!$V$11:$V$44,MATCH(SMALL(fold_calc!$R$11:$R$44,A2),fold_calc!$R$11:$R$44,0)),"")</f>
        <v>177</v>
      </c>
      <c r="G2" s="57">
        <f>IFERROR(INDEX(fold_calc!$W$11:$W$44,MATCH(SMALL(fold_calc!$R$11:$R$44,A2),fold_calc!$R$11:$R$44,0)),"")</f>
        <v>0.28557213930348258</v>
      </c>
      <c r="H2" s="58" t="str">
        <f>IF(G2=MAX($G$2:$G$9),"Рекомендована модель","")</f>
        <v>Рекомендована модель</v>
      </c>
    </row>
    <row r="3" spans="1:8" ht="20.100000000000001" customHeight="1" x14ac:dyDescent="0.25">
      <c r="A3" s="13">
        <v>2</v>
      </c>
      <c r="B3" s="55" t="str">
        <f>IFERROR(INDEX(fold_calc!$S$11:$S$44,MATCH(SMALL(fold_calc!$R$11:$R$44,$A3),fold_calc!$R$11:$R$44,0)),"")</f>
        <v>770–840</v>
      </c>
      <c r="C3" s="55" t="str">
        <f>IFERROR(INDEX(fold_calc!$T$11:$T$44,MATCH(SMALL(fold_calc!$R$11:$R$44,$A3),fold_calc!$R$11:$R$44,0)),"")</f>
        <v>4,9–9,8</v>
      </c>
      <c r="D3" s="55" t="str">
        <f t="array" ref="D3">IFERROR(INDEX(fold_calc!$O$11:$O$44,MATCH(B3&amp;C3,fold_calc!$C$11:$C$44&amp;fold_calc!$F$11:$F$44,0)),"")</f>
        <v>H4fo</v>
      </c>
      <c r="E3" s="60">
        <f>IFERROR(INDEX(fold_calc!$U$11:$U$44,MATCH(SMALL(fold_calc!$R$11:$R$44,A3),fold_calc!$R$11:$R$44,0)),"")</f>
        <v>138</v>
      </c>
      <c r="F3" s="60">
        <f>IFERROR(INDEX(fold_calc!$V$11:$V$44,MATCH(SMALL(fold_calc!$R$11:$R$44,A3),fold_calc!$R$11:$R$44,0)),"")</f>
        <v>177</v>
      </c>
      <c r="G3" s="57">
        <f>IFERROR(INDEX(fold_calc!$W$11:$W$44,MATCH(SMALL(fold_calc!$R$11:$R$44,A3),fold_calc!$R$11:$R$44,0)),"")</f>
        <v>0.28554421768707483</v>
      </c>
      <c r="H3" s="58" t="str">
        <f t="shared" ref="H3:H9" si="0">IF(G3=MAX($G$2:$G$9),"Рекомендована модель","")</f>
        <v/>
      </c>
    </row>
    <row r="4" spans="1:8" ht="20.100000000000001" customHeight="1" x14ac:dyDescent="0.25">
      <c r="A4" s="13">
        <v>3</v>
      </c>
      <c r="B4" s="55" t="str">
        <f>IFERROR(INDEX(fold_calc!$S$11:$S$44,MATCH(SMALL(fold_calc!$R$11:$R$44,$A4),fold_calc!$R$11:$R$44,0)),"")</f>
        <v/>
      </c>
      <c r="C4" s="55" t="str">
        <f>IFERROR(INDEX(fold_calc!$T$11:$T$44,MATCH(SMALL(fold_calc!$R$11:$R$44,$A4),fold_calc!$R$11:$R$44,0)),"")</f>
        <v/>
      </c>
      <c r="D4" s="55" t="str">
        <f t="array" ref="D4">IFERROR(INDEX(fold_calc!$O$11:$O$44,MATCH(B4&amp;C4,fold_calc!$C$11:$C$44&amp;fold_calc!$F$11:$F$44,0)),"")</f>
        <v/>
      </c>
      <c r="E4" s="60" t="str">
        <f>IFERROR(INDEX(fold_calc!$U$11:$U$44,MATCH(SMALL(fold_calc!$R$11:$R$44,A4),fold_calc!$R$11:$R$44,0)),"")</f>
        <v/>
      </c>
      <c r="F4" s="60" t="str">
        <f>IFERROR(INDEX(fold_calc!$V$11:$V$44,MATCH(SMALL(fold_calc!$R$11:$R$44,A4),fold_calc!$R$11:$R$44,0)),"")</f>
        <v/>
      </c>
      <c r="G4" s="57" t="str">
        <f>IFERROR(INDEX(fold_calc!$W$11:$W$44,MATCH(SMALL(fold_calc!$R$11:$R$44,A4),fold_calc!$R$11:$R$44,0)),"")</f>
        <v/>
      </c>
      <c r="H4" s="58" t="str">
        <f t="shared" si="0"/>
        <v/>
      </c>
    </row>
    <row r="5" spans="1:8" ht="20.100000000000001" customHeight="1" x14ac:dyDescent="0.25">
      <c r="A5" s="13">
        <v>4</v>
      </c>
      <c r="B5" s="55" t="str">
        <f>IFERROR(INDEX(fold_calc!$S$11:$S$44,MATCH(SMALL(fold_calc!$R$11:$R$44,$A5),fold_calc!$R$11:$R$44,0)),"")</f>
        <v/>
      </c>
      <c r="C5" s="55" t="str">
        <f>IFERROR(INDEX(fold_calc!$T$11:$T$44,MATCH(SMALL(fold_calc!$R$11:$R$44,$A5),fold_calc!$R$11:$R$44,0)),"")</f>
        <v/>
      </c>
      <c r="D5" s="55" t="str">
        <f t="array" ref="D5">IFERROR(INDEX(fold_calc!$O$11:$O$44,MATCH(B5&amp;C5,fold_calc!$C$11:$C$44&amp;fold_calc!$F$11:$F$44,0)),"")</f>
        <v/>
      </c>
      <c r="E5" s="60" t="str">
        <f>IFERROR(INDEX(fold_calc!$U$11:$U$44,MATCH(SMALL(fold_calc!$R$11:$R$44,A5),fold_calc!$R$11:$R$44,0)),"")</f>
        <v/>
      </c>
      <c r="F5" s="60" t="str">
        <f>IFERROR(INDEX(fold_calc!$V$11:$V$44,MATCH(SMALL(fold_calc!$R$11:$R$44,A5),fold_calc!$R$11:$R$44,0)),"")</f>
        <v/>
      </c>
      <c r="G5" s="57" t="str">
        <f>IFERROR(INDEX(fold_calc!$W$11:$W$44,MATCH(SMALL(fold_calc!$R$11:$R$44,A5),fold_calc!$R$11:$R$44,0)),"")</f>
        <v/>
      </c>
      <c r="H5" s="58" t="str">
        <f t="shared" si="0"/>
        <v/>
      </c>
    </row>
    <row r="6" spans="1:8" ht="20.100000000000001" customHeight="1" x14ac:dyDescent="0.25">
      <c r="A6" s="13">
        <v>5</v>
      </c>
      <c r="B6" s="55" t="str">
        <f>IFERROR(INDEX(fold_calc!$S$11:$S$44,MATCH(SMALL(fold_calc!$R$11:$R$44,$A6),fold_calc!$R$11:$R$44,0)),"")</f>
        <v/>
      </c>
      <c r="C6" s="55" t="str">
        <f>IFERROR(INDEX(fold_calc!$T$11:$T$44,MATCH(SMALL(fold_calc!$R$11:$R$44,$A6),fold_calc!$R$11:$R$44,0)),"")</f>
        <v/>
      </c>
      <c r="D6" s="55" t="str">
        <f t="array" ref="D6">IFERROR(INDEX(fold_calc!$O$11:$O$44,MATCH(B6&amp;C6,fold_calc!$C$11:$C$44&amp;fold_calc!$F$11:$F$44,0)),"")</f>
        <v/>
      </c>
      <c r="E6" s="60" t="str">
        <f>IFERROR(INDEX(fold_calc!$U$11:$U$44,MATCH(SMALL(fold_calc!$R$11:$R$44,A6),fold_calc!$R$11:$R$44,0)),"")</f>
        <v/>
      </c>
      <c r="F6" s="60" t="str">
        <f>IFERROR(INDEX(fold_calc!$V$11:$V$44,MATCH(SMALL(fold_calc!$R$11:$R$44,A6),fold_calc!$R$11:$R$44,0)),"")</f>
        <v/>
      </c>
      <c r="G6" s="57" t="str">
        <f>IFERROR(INDEX(fold_calc!$W$11:$W$44,MATCH(SMALL(fold_calc!$R$11:$R$44,A6),fold_calc!$R$11:$R$44,0)),"")</f>
        <v/>
      </c>
      <c r="H6" s="58" t="str">
        <f t="shared" si="0"/>
        <v/>
      </c>
    </row>
    <row r="7" spans="1:8" ht="20.100000000000001" customHeight="1" x14ac:dyDescent="0.25">
      <c r="A7" s="13">
        <v>6</v>
      </c>
      <c r="B7" s="55" t="str">
        <f>IFERROR(INDEX(fold_calc!$S$11:$S$44,MATCH(SMALL(fold_calc!$R$11:$R$44,$A7),fold_calc!$R$11:$R$44,0)),"")</f>
        <v/>
      </c>
      <c r="C7" s="55" t="str">
        <f>IFERROR(INDEX(fold_calc!$T$11:$T$44,MATCH(SMALL(fold_calc!$R$11:$R$44,$A7),fold_calc!$R$11:$R$44,0)),"")</f>
        <v/>
      </c>
      <c r="D7" s="55" t="str">
        <f t="array" ref="D7">IFERROR(INDEX(fold_calc!$O$11:$O$44,MATCH(B7&amp;C7,fold_calc!$C$11:$C$44&amp;fold_calc!$F$11:$F$44,0)),"")</f>
        <v/>
      </c>
      <c r="E7" s="60" t="str">
        <f>IFERROR(INDEX(fold_calc!$U$11:$U$44,MATCH(SMALL(fold_calc!$R$11:$R$44,A7),fold_calc!$R$11:$R$44,0)),"")</f>
        <v/>
      </c>
      <c r="F7" s="60" t="str">
        <f>IFERROR(INDEX(fold_calc!$V$11:$V$44,MATCH(SMALL(fold_calc!$R$11:$R$44,A7),fold_calc!$R$11:$R$44,0)),"")</f>
        <v/>
      </c>
      <c r="G7" s="57" t="str">
        <f>IFERROR(INDEX(fold_calc!$W$11:$W$44,MATCH(SMALL(fold_calc!$R$11:$R$44,A7),fold_calc!$R$11:$R$44,0)),"")</f>
        <v/>
      </c>
      <c r="H7" s="58" t="str">
        <f t="shared" si="0"/>
        <v/>
      </c>
    </row>
    <row r="8" spans="1:8" ht="20.100000000000001" customHeight="1" x14ac:dyDescent="0.25">
      <c r="A8" s="13">
        <v>7</v>
      </c>
      <c r="B8" s="55" t="str">
        <f>IFERROR(INDEX(fold_calc!$S$11:$S$44,MATCH(SMALL(fold_calc!$R$11:$R$44,$A8),fold_calc!$R$11:$R$44,0)),"")</f>
        <v/>
      </c>
      <c r="C8" s="55" t="str">
        <f>IFERROR(INDEX(fold_calc!$T$11:$T$44,MATCH(SMALL(fold_calc!$R$11:$R$44,$A8),fold_calc!$R$11:$R$44,0)),"")</f>
        <v/>
      </c>
      <c r="D8" s="55" t="str">
        <f t="array" ref="D8">IFERROR(INDEX(fold_calc!$O$11:$O$44,MATCH(B8&amp;C8,fold_calc!$C$11:$C$44&amp;fold_calc!$F$11:$F$44,0)),"")</f>
        <v/>
      </c>
      <c r="E8" s="60" t="str">
        <f>IFERROR(INDEX(fold_calc!$U$11:$U$44,MATCH(SMALL(fold_calc!$R$11:$R$44,A8),fold_calc!$R$11:$R$44,0)),"")</f>
        <v/>
      </c>
      <c r="F8" s="60" t="str">
        <f>IFERROR(INDEX(fold_calc!$V$11:$V$44,MATCH(SMALL(fold_calc!$R$11:$R$44,A8),fold_calc!$R$11:$R$44,0)),"")</f>
        <v/>
      </c>
      <c r="G8" s="57" t="str">
        <f>IFERROR(INDEX(fold_calc!$W$11:$W$44,MATCH(SMALL(fold_calc!$R$11:$R$44,A8),fold_calc!$R$11:$R$44,0)),"")</f>
        <v/>
      </c>
      <c r="H8" s="58" t="str">
        <f t="shared" si="0"/>
        <v/>
      </c>
    </row>
    <row r="9" spans="1:8" ht="20.100000000000001" customHeight="1" x14ac:dyDescent="0.25">
      <c r="A9" s="13">
        <v>8</v>
      </c>
      <c r="B9" s="55" t="str">
        <f>IFERROR(INDEX(fold_calc!$S$11:$S$44,MATCH(SMALL(fold_calc!$R$11:$R$44,$A9),fold_calc!$R$11:$R$44,0)),"")</f>
        <v/>
      </c>
      <c r="C9" s="55" t="str">
        <f>IFERROR(INDEX(fold_calc!$T$11:$T$44,MATCH(SMALL(fold_calc!$R$11:$R$44,$A9),fold_calc!$R$11:$R$44,0)),"")</f>
        <v/>
      </c>
      <c r="D9" s="55" t="str">
        <f t="array" ref="D9">IFERROR(INDEX(fold_calc!$O$11:$O$44,MATCH(B9&amp;C9,fold_calc!$C$11:$C$44&amp;fold_calc!$F$11:$F$44,0)),"")</f>
        <v/>
      </c>
      <c r="E9" s="60" t="str">
        <f>IFERROR(INDEX(fold_calc!$U$11:$U$44,MATCH(SMALL(fold_calc!$R$11:$R$44,A9),fold_calc!$R$11:$R$44,0)),"")</f>
        <v/>
      </c>
      <c r="F9" s="60" t="str">
        <f>IFERROR(INDEX(fold_calc!$V$11:$V$44,MATCH(SMALL(fold_calc!$R$11:$R$44,A9),fold_calc!$R$11:$R$44,0)),"")</f>
        <v/>
      </c>
      <c r="G9" s="57" t="str">
        <f>IFERROR(INDEX(fold_calc!$W$11:$W$44,MATCH(SMALL(fold_calc!$R$11:$R$44,A9),fold_calc!$R$11:$R$44,0)),"")</f>
        <v/>
      </c>
      <c r="H9" s="58" t="str">
        <f t="shared" si="0"/>
        <v/>
      </c>
    </row>
    <row r="19" spans="1:1" ht="20.100000000000001" customHeight="1" x14ac:dyDescent="0.25">
      <c r="A19" s="55" t="str">
        <f>IFERROR(INDEX($J$2:$J$13,MATCH(SMALL(K2:K13,#REF!),K2:K13,0)),"")</f>
        <v/>
      </c>
    </row>
    <row r="21" spans="1:1" ht="20.100000000000001" customHeight="1" x14ac:dyDescent="0.25">
      <c r="A21" s="55" t="str">
        <f>IFERROR(INDEX($J$2:$J$13,MATCH(SMALL(K2:K13,#REF!),K2:K13,0)),"")</f>
        <v/>
      </c>
    </row>
  </sheetData>
  <sheetProtection password="D116" sheet="1" objects="1" scenarios="1"/>
  <conditionalFormatting sqref="B2:H2 H3:H9">
    <cfRule type="expression" dxfId="69" priority="2" stopIfTrue="1">
      <formula>$H2="Рекомендована модель"</formula>
    </cfRule>
  </conditionalFormatting>
  <conditionalFormatting sqref="B3:G9">
    <cfRule type="expression" dxfId="68" priority="1" stopIfTrue="1">
      <formula>$H3="Рекомендована модель"</formula>
    </cfRule>
  </conditionalFormatting>
  <pageMargins left="0.78740157480314965" right="0.19685039370078741" top="0.78740157480314965" bottom="0.39370078740157483" header="0.78740157480314965" footer="0.39370078740157483"/>
  <pageSetup paperSize="9" orientation="portrait" horizontalDpi="4294967295" verticalDpi="4294967295" r:id="rId1"/>
  <headerFooter>
    <oddHeader>&amp;R&amp;G</oddHeader>
    <oddFooter>&amp;LHafele Services</oddFooter>
  </headerFooter>
  <legacyDrawingHF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23"/>
  <sheetViews>
    <sheetView zoomScale="70" zoomScaleNormal="70" workbookViewId="0">
      <selection activeCell="P13" sqref="P13"/>
    </sheetView>
  </sheetViews>
  <sheetFormatPr defaultRowHeight="20.100000000000001" customHeight="1" x14ac:dyDescent="0.25"/>
  <cols>
    <col min="1" max="1" width="15.7109375" style="43" customWidth="1"/>
    <col min="2" max="3" width="9.140625" style="43"/>
    <col min="4" max="4" width="10.5703125" style="48" customWidth="1"/>
    <col min="5" max="9" width="10.5703125" style="43" customWidth="1"/>
    <col min="10" max="16384" width="9.140625" style="43"/>
  </cols>
  <sheetData>
    <row r="1" spans="1:12" ht="20.100000000000001" customHeight="1" x14ac:dyDescent="0.25">
      <c r="A1" s="40" t="s">
        <v>138</v>
      </c>
      <c r="B1" s="40" t="s">
        <v>90</v>
      </c>
      <c r="C1" s="41" t="s">
        <v>91</v>
      </c>
      <c r="D1" s="42" t="s">
        <v>92</v>
      </c>
      <c r="E1" s="40" t="s">
        <v>93</v>
      </c>
      <c r="F1" s="40" t="s">
        <v>94</v>
      </c>
      <c r="G1" s="40" t="s">
        <v>95</v>
      </c>
      <c r="H1" s="40" t="s">
        <v>96</v>
      </c>
      <c r="I1" s="40" t="s">
        <v>97</v>
      </c>
      <c r="J1" s="62" t="s">
        <v>276</v>
      </c>
    </row>
    <row r="2" spans="1:12" ht="20.100000000000001" customHeight="1" x14ac:dyDescent="0.25">
      <c r="A2" s="40" t="s">
        <v>192</v>
      </c>
      <c r="B2" s="40" t="s">
        <v>225</v>
      </c>
      <c r="C2" s="44">
        <v>1</v>
      </c>
      <c r="D2" s="42">
        <v>349</v>
      </c>
      <c r="E2" s="40">
        <v>313</v>
      </c>
      <c r="F2" s="40" t="s">
        <v>140</v>
      </c>
      <c r="G2" s="40" t="s">
        <v>141</v>
      </c>
      <c r="H2" s="40" t="s">
        <v>142</v>
      </c>
      <c r="I2" s="40" t="s">
        <v>143</v>
      </c>
      <c r="J2" s="40">
        <f>LEN(free_fold_data[[#This Row],[висота корпусу]])</f>
        <v>7</v>
      </c>
    </row>
    <row r="3" spans="1:12" ht="20.100000000000001" customHeight="1" x14ac:dyDescent="0.25">
      <c r="A3" s="40" t="s">
        <v>50</v>
      </c>
      <c r="B3" s="40" t="s">
        <v>226</v>
      </c>
      <c r="C3" s="44">
        <v>1.1000000000000001</v>
      </c>
      <c r="D3" s="42">
        <v>426</v>
      </c>
      <c r="E3" s="40">
        <v>328</v>
      </c>
      <c r="F3" s="40" t="s">
        <v>98</v>
      </c>
      <c r="G3" s="40" t="s">
        <v>99</v>
      </c>
      <c r="H3" s="40" t="s">
        <v>100</v>
      </c>
      <c r="I3" s="40" t="s">
        <v>101</v>
      </c>
      <c r="J3" s="40">
        <f>LEN(free_fold_data[[#This Row],[висота корпусу]])</f>
        <v>7</v>
      </c>
    </row>
    <row r="4" spans="1:12" ht="20.100000000000001" customHeight="1" x14ac:dyDescent="0.25">
      <c r="A4" s="40" t="s">
        <v>51</v>
      </c>
      <c r="B4" s="40" t="s">
        <v>227</v>
      </c>
      <c r="C4" s="44">
        <v>1.1000000000000001</v>
      </c>
      <c r="D4" s="42">
        <v>466</v>
      </c>
      <c r="E4" s="40">
        <v>347</v>
      </c>
      <c r="F4" s="40" t="s">
        <v>102</v>
      </c>
      <c r="G4" s="40" t="s">
        <v>103</v>
      </c>
      <c r="H4" s="40" t="s">
        <v>104</v>
      </c>
      <c r="I4" s="40" t="s">
        <v>105</v>
      </c>
      <c r="J4" s="40">
        <f>LEN(free_fold_data[[#This Row],[висота корпусу]])</f>
        <v>7</v>
      </c>
    </row>
    <row r="5" spans="1:12" ht="20.100000000000001" customHeight="1" x14ac:dyDescent="0.25">
      <c r="A5" s="40" t="s">
        <v>52</v>
      </c>
      <c r="B5" s="40" t="s">
        <v>228</v>
      </c>
      <c r="C5" s="44">
        <v>1.2</v>
      </c>
      <c r="D5" s="42">
        <v>589</v>
      </c>
      <c r="E5" s="40">
        <v>377</v>
      </c>
      <c r="F5" s="40" t="s">
        <v>106</v>
      </c>
      <c r="G5" s="40" t="s">
        <v>107</v>
      </c>
      <c r="H5" s="40" t="s">
        <v>108</v>
      </c>
      <c r="I5" s="40" t="s">
        <v>109</v>
      </c>
      <c r="J5" s="40">
        <f>LEN(free_fold_data[[#This Row],[висота корпусу]])</f>
        <v>7</v>
      </c>
    </row>
    <row r="6" spans="1:12" ht="20.100000000000001" customHeight="1" x14ac:dyDescent="0.25">
      <c r="A6" s="40" t="s">
        <v>53</v>
      </c>
      <c r="B6" s="40" t="s">
        <v>229</v>
      </c>
      <c r="C6" s="44">
        <v>1.2</v>
      </c>
      <c r="D6" s="42">
        <v>664</v>
      </c>
      <c r="E6" s="40">
        <v>409</v>
      </c>
      <c r="F6" s="40" t="s">
        <v>110</v>
      </c>
      <c r="G6" s="40" t="s">
        <v>111</v>
      </c>
      <c r="H6" s="40" t="s">
        <v>112</v>
      </c>
      <c r="I6" s="40" t="s">
        <v>113</v>
      </c>
      <c r="J6" s="40">
        <f>LEN(free_fold_data[[#This Row],[висота корпусу]])</f>
        <v>7</v>
      </c>
    </row>
    <row r="7" spans="1:12" ht="20.100000000000001" customHeight="1" x14ac:dyDescent="0.25">
      <c r="A7" s="40" t="s">
        <v>54</v>
      </c>
      <c r="B7" s="40" t="s">
        <v>228</v>
      </c>
      <c r="C7" s="44">
        <v>1.2</v>
      </c>
      <c r="D7" s="42">
        <v>736</v>
      </c>
      <c r="E7" s="40">
        <v>439</v>
      </c>
      <c r="F7" s="40" t="s">
        <v>114</v>
      </c>
      <c r="G7" s="40" t="s">
        <v>115</v>
      </c>
      <c r="H7" s="40" t="s">
        <v>116</v>
      </c>
      <c r="I7" s="40" t="s">
        <v>117</v>
      </c>
      <c r="J7" s="40">
        <f>LEN(free_fold_data[[#This Row],[висота корпусу]])</f>
        <v>7</v>
      </c>
    </row>
    <row r="8" spans="1:12" ht="20.100000000000001" customHeight="1" x14ac:dyDescent="0.25">
      <c r="A8" s="40" t="s">
        <v>55</v>
      </c>
      <c r="B8" s="40" t="s">
        <v>228</v>
      </c>
      <c r="C8" s="44">
        <v>1</v>
      </c>
      <c r="D8" s="42">
        <v>644</v>
      </c>
      <c r="E8" s="40">
        <v>467</v>
      </c>
      <c r="F8" s="40" t="s">
        <v>118</v>
      </c>
      <c r="G8" s="40" t="s">
        <v>119</v>
      </c>
      <c r="H8" s="40" t="s">
        <v>120</v>
      </c>
      <c r="I8" s="40" t="s">
        <v>121</v>
      </c>
      <c r="J8" s="40">
        <f>LEN(free_fold_data[[#This Row],[висота корпусу]])</f>
        <v>7</v>
      </c>
    </row>
    <row r="9" spans="1:12" ht="20.100000000000001" customHeight="1" x14ac:dyDescent="0.25">
      <c r="A9" s="40" t="s">
        <v>56</v>
      </c>
      <c r="B9" s="40" t="s">
        <v>230</v>
      </c>
      <c r="C9" s="44">
        <v>1.2</v>
      </c>
      <c r="D9" s="42">
        <v>882</v>
      </c>
      <c r="E9" s="40">
        <v>501</v>
      </c>
      <c r="F9" s="40" t="s">
        <v>122</v>
      </c>
      <c r="G9" s="40" t="s">
        <v>123</v>
      </c>
      <c r="H9" s="40" t="s">
        <v>124</v>
      </c>
      <c r="I9" s="40" t="s">
        <v>125</v>
      </c>
      <c r="J9" s="40">
        <f>LEN(free_fold_data[[#This Row],[висота корпусу]])</f>
        <v>7</v>
      </c>
    </row>
    <row r="10" spans="1:12" ht="20.100000000000001" customHeight="1" x14ac:dyDescent="0.25">
      <c r="A10" s="40" t="s">
        <v>57</v>
      </c>
      <c r="B10" s="40" t="s">
        <v>225</v>
      </c>
      <c r="C10" s="44">
        <v>1.1000000000000001</v>
      </c>
      <c r="D10" s="42">
        <v>865</v>
      </c>
      <c r="E10" s="40">
        <v>533</v>
      </c>
      <c r="F10" s="40" t="s">
        <v>126</v>
      </c>
      <c r="G10" s="40" t="s">
        <v>127</v>
      </c>
      <c r="H10" s="40" t="s">
        <v>128</v>
      </c>
      <c r="I10" s="40" t="s">
        <v>129</v>
      </c>
      <c r="J10" s="40">
        <f>LEN(free_fold_data[[#This Row],[висота корпусу]])</f>
        <v>7</v>
      </c>
    </row>
    <row r="11" spans="1:12" ht="20.100000000000001" customHeight="1" x14ac:dyDescent="0.25">
      <c r="A11" s="40" t="s">
        <v>58</v>
      </c>
      <c r="B11" s="40" t="s">
        <v>231</v>
      </c>
      <c r="C11" s="44">
        <v>1.1000000000000001</v>
      </c>
      <c r="D11" s="42">
        <v>915</v>
      </c>
      <c r="E11" s="40">
        <v>557</v>
      </c>
      <c r="F11" s="40" t="s">
        <v>130</v>
      </c>
      <c r="G11" s="40" t="s">
        <v>131</v>
      </c>
      <c r="H11" s="40" t="s">
        <v>132</v>
      </c>
      <c r="I11" s="40" t="s">
        <v>133</v>
      </c>
      <c r="J11" s="40">
        <f>LEN(free_fold_data[[#This Row],[висота корпусу]])</f>
        <v>8</v>
      </c>
    </row>
    <row r="12" spans="1:12" ht="20.100000000000001" customHeight="1" x14ac:dyDescent="0.25">
      <c r="A12" s="40" t="s">
        <v>59</v>
      </c>
      <c r="B12" s="40" t="s">
        <v>232</v>
      </c>
      <c r="C12" s="44">
        <v>1.1000000000000001</v>
      </c>
      <c r="D12" s="42">
        <v>954</v>
      </c>
      <c r="E12" s="40">
        <v>576</v>
      </c>
      <c r="F12" s="40" t="s">
        <v>134</v>
      </c>
      <c r="G12" s="40" t="s">
        <v>135</v>
      </c>
      <c r="H12" s="40" t="s">
        <v>136</v>
      </c>
      <c r="I12" s="40" t="s">
        <v>137</v>
      </c>
      <c r="J12" s="40">
        <f>LEN(free_fold_data[[#This Row],[висота корпусу]])</f>
        <v>9</v>
      </c>
    </row>
    <row r="14" spans="1:12" ht="20.100000000000001" customHeight="1" x14ac:dyDescent="0.25">
      <c r="A14" s="63" t="s">
        <v>276</v>
      </c>
      <c r="B14" s="63">
        <f>INDEX(free_fold_data[LEN],MATCH(A17,free_fold_data[висота корпусу],0))</f>
        <v>7</v>
      </c>
    </row>
    <row r="15" spans="1:12" ht="20.100000000000001" customHeight="1" x14ac:dyDescent="0.25">
      <c r="A15" s="43">
        <v>1</v>
      </c>
      <c r="B15" s="43">
        <v>2</v>
      </c>
      <c r="C15" s="43">
        <v>3</v>
      </c>
      <c r="D15" s="43">
        <v>4</v>
      </c>
      <c r="E15" s="43">
        <v>5</v>
      </c>
      <c r="F15" s="43">
        <v>6</v>
      </c>
      <c r="G15" s="43">
        <v>7</v>
      </c>
      <c r="H15" s="43">
        <v>8</v>
      </c>
      <c r="I15" s="43">
        <v>9</v>
      </c>
    </row>
    <row r="16" spans="1:12" ht="20.100000000000001" customHeight="1" x14ac:dyDescent="0.25">
      <c r="A16" s="45" t="s">
        <v>138</v>
      </c>
      <c r="B16" s="45" t="s">
        <v>90</v>
      </c>
      <c r="C16" s="46" t="s">
        <v>91</v>
      </c>
      <c r="D16" s="47" t="s">
        <v>92</v>
      </c>
      <c r="E16" s="45" t="s">
        <v>93</v>
      </c>
      <c r="F16" s="45" t="s">
        <v>94</v>
      </c>
      <c r="G16" s="45" t="s">
        <v>95</v>
      </c>
      <c r="H16" s="45" t="s">
        <v>96</v>
      </c>
      <c r="I16" s="45" t="s">
        <v>97</v>
      </c>
      <c r="L16" s="45"/>
    </row>
    <row r="17" spans="1:12" ht="20.100000000000001" customHeight="1" x14ac:dyDescent="0.25">
      <c r="A17" s="17" t="str">
        <f>INDEX(calc_step_1!$B$1:$B$9,MATCH("Рекомендована модель",calc_step_1!$H$1:$H$9,0))</f>
        <v>770–840</v>
      </c>
      <c r="B17" s="17" t="str">
        <f>VLOOKUP($A17,free_fold_data[],B15,FALSE)</f>
        <v>108–95</v>
      </c>
      <c r="C17" s="17">
        <f>VLOOKUP($A17,free_fold_data[],C15,FALSE)</f>
        <v>1</v>
      </c>
      <c r="D17" s="17">
        <f>VLOOKUP($A17,free_fold_data[],D15,FALSE)</f>
        <v>644</v>
      </c>
      <c r="E17" s="17">
        <f>VLOOKUP($A17,free_fold_data[],E15,FALSE)</f>
        <v>467</v>
      </c>
      <c r="F17" s="17" t="str">
        <f>VLOOKUP($A17,free_fold_data[],F15,FALSE)</f>
        <v>146–43</v>
      </c>
      <c r="G17" s="17" t="str">
        <f>VLOOKUP($A17,free_fold_data[],G15,FALSE)</f>
        <v>179–223</v>
      </c>
      <c r="H17" s="17" t="str">
        <f>VLOOKUP($A17,free_fold_data[],H15,FALSE)</f>
        <v>267–200</v>
      </c>
      <c r="I17" s="17" t="str">
        <f>VLOOKUP($A17,free_fold_data[],I15,FALSE)</f>
        <v>466–527</v>
      </c>
      <c r="L17" s="45"/>
    </row>
    <row r="18" spans="1:12" ht="20.100000000000001" customHeight="1" x14ac:dyDescent="0.25">
      <c r="A18" s="49" t="str">
        <f>IF($B$14=9,LEFT(A17,4),IF(OR($B$14=8,$B$14=7),LEFT(A17,3),))</f>
        <v>770</v>
      </c>
      <c r="B18" s="49" t="str">
        <f>LEFT(B17,3)</f>
        <v>108</v>
      </c>
      <c r="C18" s="49"/>
      <c r="D18" s="50"/>
      <c r="E18" s="49"/>
      <c r="F18" s="49" t="str">
        <f>LEFT(F17,3)</f>
        <v>146</v>
      </c>
      <c r="G18" s="49" t="str">
        <f t="shared" ref="G18:I18" si="0">LEFT(G17,3)</f>
        <v>179</v>
      </c>
      <c r="H18" s="49" t="str">
        <f t="shared" si="0"/>
        <v>267</v>
      </c>
      <c r="I18" s="49" t="str">
        <f t="shared" si="0"/>
        <v>466</v>
      </c>
      <c r="L18" s="45"/>
    </row>
    <row r="19" spans="1:12" ht="20.100000000000001" customHeight="1" x14ac:dyDescent="0.25">
      <c r="A19" s="49" t="str">
        <f>IF($B$14=9,RIGHT(A17,4),IF($B$14=8,RIGHT(A17,4),IF($B$14=7,RIGHT(A17,3))))</f>
        <v>840</v>
      </c>
      <c r="B19" s="49" t="str">
        <f>RIGHT(B17,LEN(B17)-4)</f>
        <v>95</v>
      </c>
      <c r="C19" s="49"/>
      <c r="D19" s="50"/>
      <c r="E19" s="49"/>
      <c r="F19" s="49" t="str">
        <f>RIGHT(F17,LEN(F17)-4)</f>
        <v>43</v>
      </c>
      <c r="G19" s="49" t="str">
        <f t="shared" ref="G19:I19" si="1">RIGHT(G17,LEN(G17)-4)</f>
        <v>223</v>
      </c>
      <c r="H19" s="49" t="str">
        <f t="shared" si="1"/>
        <v>200</v>
      </c>
      <c r="I19" s="49" t="str">
        <f t="shared" si="1"/>
        <v>527</v>
      </c>
      <c r="L19" s="45"/>
    </row>
    <row r="20" spans="1:12" ht="20.100000000000001" customHeight="1" x14ac:dyDescent="0.25">
      <c r="A20" s="49">
        <f>A19-A18</f>
        <v>70</v>
      </c>
      <c r="B20" s="49">
        <f>B18-B19</f>
        <v>13</v>
      </c>
      <c r="C20" s="49"/>
      <c r="D20" s="49"/>
      <c r="E20" s="49"/>
      <c r="F20" s="49">
        <f>F18-F19</f>
        <v>103</v>
      </c>
      <c r="G20" s="49">
        <f t="shared" ref="G20:I20" si="2">G18-G19</f>
        <v>-44</v>
      </c>
      <c r="H20" s="49">
        <f t="shared" si="2"/>
        <v>67</v>
      </c>
      <c r="I20" s="49">
        <f t="shared" si="2"/>
        <v>-61</v>
      </c>
      <c r="L20" s="45"/>
    </row>
    <row r="21" spans="1:12" ht="20.100000000000001" customHeight="1" x14ac:dyDescent="0.25">
      <c r="A21" s="54" t="s">
        <v>91</v>
      </c>
      <c r="B21" s="54">
        <f>B20/$A$20</f>
        <v>0.18571428571428572</v>
      </c>
      <c r="C21" s="54"/>
      <c r="D21" s="54"/>
      <c r="E21" s="54"/>
      <c r="F21" s="54">
        <f>F20/$A$20</f>
        <v>1.4714285714285715</v>
      </c>
      <c r="G21" s="54">
        <f t="shared" ref="G21:I21" si="3">G20/$A$20</f>
        <v>-0.62857142857142856</v>
      </c>
      <c r="H21" s="54">
        <f t="shared" si="3"/>
        <v>0.95714285714285718</v>
      </c>
      <c r="I21" s="54">
        <f t="shared" si="3"/>
        <v>-0.87142857142857144</v>
      </c>
      <c r="L21" s="45"/>
    </row>
    <row r="22" spans="1:12" ht="20.100000000000001" customHeight="1" x14ac:dyDescent="0.25">
      <c r="A22" s="49">
        <f>A23-A18</f>
        <v>30</v>
      </c>
      <c r="B22" s="49">
        <f>B21*$A$22</f>
        <v>5.5714285714285712</v>
      </c>
      <c r="C22" s="49"/>
      <c r="D22" s="49"/>
      <c r="E22" s="49"/>
      <c r="F22" s="49">
        <f>F21*$A$22</f>
        <v>44.142857142857146</v>
      </c>
      <c r="G22" s="49">
        <f t="shared" ref="G22:I22" si="4">G21*$A$22</f>
        <v>-18.857142857142858</v>
      </c>
      <c r="H22" s="49">
        <f t="shared" si="4"/>
        <v>28.714285714285715</v>
      </c>
      <c r="I22" s="49">
        <f t="shared" si="4"/>
        <v>-26.142857142857142</v>
      </c>
      <c r="L22" s="45"/>
    </row>
    <row r="23" spans="1:12" ht="20.100000000000001" customHeight="1" x14ac:dyDescent="0.25">
      <c r="A23" s="51">
        <f>result!C7</f>
        <v>800</v>
      </c>
      <c r="B23" s="51" t="str">
        <f>ROUND(B18-B22,)&amp;"°"</f>
        <v>102°</v>
      </c>
      <c r="C23" s="51">
        <f>C17</f>
        <v>1</v>
      </c>
      <c r="D23" s="51">
        <f>D17</f>
        <v>644</v>
      </c>
      <c r="E23" s="51">
        <f>E17</f>
        <v>467</v>
      </c>
      <c r="F23" s="51">
        <f>ROUND(F18-F22,)</f>
        <v>102</v>
      </c>
      <c r="G23" s="51">
        <f t="shared" ref="G23:I23" si="5">ROUND(G18-G22,)</f>
        <v>198</v>
      </c>
      <c r="H23" s="51">
        <f t="shared" si="5"/>
        <v>238</v>
      </c>
      <c r="I23" s="51">
        <f t="shared" si="5"/>
        <v>492</v>
      </c>
      <c r="L23" s="61" t="s">
        <v>273</v>
      </c>
    </row>
  </sheetData>
  <sheetProtection password="D116" sheet="1" objects="1" scenarios="1"/>
  <pageMargins left="0.25" right="0.25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Y44"/>
  <sheetViews>
    <sheetView topLeftCell="A7" zoomScale="55" zoomScaleNormal="55" workbookViewId="0">
      <selection activeCell="Z37" sqref="Z37"/>
    </sheetView>
  </sheetViews>
  <sheetFormatPr defaultRowHeight="20.100000000000001" customHeight="1" x14ac:dyDescent="0.2"/>
  <cols>
    <col min="1" max="1" width="2.85546875" style="31" customWidth="1"/>
    <col min="2" max="2" width="9.7109375" style="17" customWidth="1"/>
    <col min="3" max="3" width="12.7109375" style="17" customWidth="1"/>
    <col min="4" max="5" width="9.28515625" style="17" customWidth="1"/>
    <col min="6" max="6" width="11.7109375" style="18" customWidth="1"/>
    <col min="7" max="7" width="8.140625" style="18" customWidth="1"/>
    <col min="8" max="8" width="8.7109375" style="18" customWidth="1"/>
    <col min="9" max="11" width="7.42578125" style="17" customWidth="1"/>
    <col min="12" max="13" width="14.140625" style="19" bestFit="1" customWidth="1"/>
    <col min="14" max="15" width="12.7109375" style="19" customWidth="1"/>
    <col min="16" max="17" width="9.5703125" style="17" customWidth="1"/>
    <col min="18" max="18" width="12.28515625" style="36" customWidth="1"/>
    <col min="19" max="20" width="12.28515625" style="37" customWidth="1"/>
    <col min="21" max="22" width="12.28515625" style="38" customWidth="1"/>
    <col min="23" max="25" width="12.28515625" style="39" customWidth="1"/>
    <col min="26" max="16384" width="9.140625" style="31"/>
  </cols>
  <sheetData>
    <row r="1" spans="2:25" s="18" customFormat="1" ht="20.100000000000001" customHeight="1" x14ac:dyDescent="0.25">
      <c r="B1" s="17"/>
      <c r="C1" s="17"/>
      <c r="D1" s="17"/>
      <c r="E1" s="17"/>
      <c r="I1" s="17"/>
      <c r="J1" s="17"/>
      <c r="K1" s="17"/>
      <c r="L1" s="19"/>
      <c r="M1" s="19"/>
      <c r="N1" s="19"/>
      <c r="O1" s="19"/>
      <c r="P1" s="17"/>
      <c r="Q1" s="17"/>
      <c r="R1" s="20"/>
      <c r="S1" s="17"/>
      <c r="T1" s="17"/>
      <c r="U1" s="21"/>
      <c r="V1" s="21"/>
      <c r="W1" s="22"/>
      <c r="X1" s="22"/>
      <c r="Y1" s="22"/>
    </row>
    <row r="2" spans="2:25" s="18" customFormat="1" ht="20.100000000000001" customHeight="1" x14ac:dyDescent="0.25">
      <c r="B2" s="17"/>
      <c r="C2" s="26" t="s">
        <v>215</v>
      </c>
      <c r="D2" s="15">
        <f>result!C8</f>
        <v>18</v>
      </c>
      <c r="E2" s="17"/>
      <c r="I2" s="17"/>
      <c r="J2" s="17"/>
      <c r="K2" s="17"/>
      <c r="L2" s="19"/>
      <c r="M2" s="19"/>
      <c r="N2" s="19"/>
      <c r="O2" s="19"/>
      <c r="P2" s="17"/>
      <c r="Q2" s="17"/>
      <c r="R2" s="20"/>
      <c r="S2" s="17"/>
      <c r="T2" s="17"/>
      <c r="U2" s="21"/>
      <c r="V2" s="21"/>
      <c r="W2" s="22"/>
      <c r="X2" s="22"/>
      <c r="Y2" s="22"/>
    </row>
    <row r="3" spans="2:25" s="18" customFormat="1" ht="20.100000000000001" customHeight="1" x14ac:dyDescent="0.25">
      <c r="B3" s="17"/>
      <c r="C3" s="26" t="s">
        <v>216</v>
      </c>
      <c r="D3" s="15">
        <f>result!C11</f>
        <v>18</v>
      </c>
      <c r="E3" s="17"/>
      <c r="I3" s="17"/>
      <c r="J3" s="17"/>
      <c r="K3" s="17"/>
      <c r="L3" s="19"/>
      <c r="M3" s="19"/>
      <c r="N3" s="19"/>
      <c r="O3" s="19"/>
      <c r="P3" s="17"/>
      <c r="Q3" s="17"/>
      <c r="R3" s="20"/>
      <c r="S3" s="17"/>
      <c r="T3" s="17"/>
      <c r="U3" s="21"/>
      <c r="V3" s="21"/>
      <c r="W3" s="22"/>
      <c r="X3" s="22"/>
      <c r="Y3" s="22"/>
    </row>
    <row r="4" spans="2:25" s="18" customFormat="1" ht="20.100000000000001" customHeight="1" x14ac:dyDescent="0.25">
      <c r="B4" s="17"/>
      <c r="C4" s="26" t="s">
        <v>144</v>
      </c>
      <c r="D4" s="15">
        <f>result!C7</f>
        <v>800</v>
      </c>
      <c r="E4" s="17"/>
      <c r="I4" s="17"/>
      <c r="J4" s="17"/>
      <c r="K4" s="17"/>
      <c r="L4" s="19"/>
      <c r="M4" s="19"/>
      <c r="N4" s="19"/>
      <c r="O4" s="19"/>
      <c r="P4" s="17"/>
      <c r="Q4" s="17"/>
      <c r="R4" s="20"/>
      <c r="S4" s="17"/>
      <c r="T4" s="17"/>
      <c r="U4" s="21"/>
      <c r="V4" s="21"/>
      <c r="W4" s="22"/>
      <c r="X4" s="22"/>
      <c r="Y4" s="22"/>
    </row>
    <row r="5" spans="2:25" s="23" customFormat="1" ht="20.100000000000001" customHeight="1" x14ac:dyDescent="0.25">
      <c r="C5" s="26" t="s">
        <v>154</v>
      </c>
      <c r="D5" s="24">
        <f>result!C21</f>
        <v>6</v>
      </c>
      <c r="E5" s="25"/>
      <c r="I5" s="25"/>
      <c r="J5" s="25"/>
      <c r="K5" s="25"/>
      <c r="L5" s="26"/>
      <c r="M5" s="26"/>
      <c r="N5" s="26"/>
      <c r="O5" s="26"/>
      <c r="R5" s="27"/>
      <c r="S5" s="25"/>
      <c r="T5" s="25"/>
      <c r="U5" s="28"/>
      <c r="V5" s="28"/>
      <c r="W5" s="29"/>
      <c r="X5" s="29"/>
      <c r="Y5" s="29"/>
    </row>
    <row r="6" spans="2:25" s="23" customFormat="1" ht="20.100000000000001" customHeight="1" x14ac:dyDescent="0.25">
      <c r="C6" s="26" t="s">
        <v>89</v>
      </c>
      <c r="D6" s="15">
        <f>result!C13</f>
        <v>18</v>
      </c>
      <c r="E6" s="25"/>
      <c r="I6" s="25"/>
      <c r="J6" s="25"/>
      <c r="K6" s="25"/>
      <c r="L6" s="26"/>
      <c r="M6" s="26"/>
      <c r="N6" s="26"/>
      <c r="O6" s="26"/>
      <c r="R6" s="27"/>
      <c r="S6" s="25"/>
      <c r="T6" s="25"/>
      <c r="U6" s="28"/>
      <c r="V6" s="28"/>
      <c r="W6" s="29"/>
      <c r="X6" s="29"/>
      <c r="Y6" s="29"/>
    </row>
    <row r="7" spans="2:25" s="23" customFormat="1" ht="20.100000000000001" customHeight="1" x14ac:dyDescent="0.25">
      <c r="C7" s="14"/>
      <c r="D7" s="16"/>
      <c r="E7" s="25"/>
      <c r="I7" s="25"/>
      <c r="J7" s="25"/>
      <c r="K7" s="25"/>
      <c r="L7" s="26"/>
      <c r="M7" s="26"/>
      <c r="N7" s="26"/>
      <c r="O7" s="26"/>
      <c r="R7" s="27"/>
      <c r="S7" s="25"/>
      <c r="T7" s="25"/>
      <c r="U7" s="28"/>
      <c r="V7" s="28"/>
      <c r="W7" s="29"/>
      <c r="X7" s="29"/>
      <c r="Y7" s="29"/>
    </row>
    <row r="8" spans="2:25" s="18" customFormat="1" ht="20.100000000000001" customHeight="1" x14ac:dyDescent="0.25">
      <c r="B8" s="17"/>
      <c r="C8" s="17">
        <v>1</v>
      </c>
      <c r="D8" s="17">
        <v>2</v>
      </c>
      <c r="E8" s="17">
        <v>3</v>
      </c>
      <c r="F8" s="17">
        <v>4</v>
      </c>
      <c r="G8" s="17">
        <v>5</v>
      </c>
      <c r="H8" s="17">
        <v>6</v>
      </c>
      <c r="I8" s="17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17">
        <v>14</v>
      </c>
      <c r="Q8" s="17">
        <v>15</v>
      </c>
      <c r="R8" s="20">
        <v>15</v>
      </c>
      <c r="S8" s="17" t="b">
        <v>1</v>
      </c>
      <c r="T8" s="17">
        <v>4</v>
      </c>
      <c r="U8" s="21"/>
      <c r="V8" s="21"/>
      <c r="W8" s="22"/>
      <c r="X8" s="22"/>
      <c r="Y8" s="22"/>
    </row>
    <row r="9" spans="2:25" ht="20.100000000000001" customHeight="1" x14ac:dyDescent="0.2">
      <c r="B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1"/>
      <c r="S9" s="31"/>
      <c r="T9" s="31"/>
      <c r="U9" s="21"/>
      <c r="V9" s="21"/>
      <c r="W9" s="22"/>
      <c r="X9" s="22"/>
      <c r="Y9" s="22"/>
    </row>
    <row r="10" spans="2:25" ht="20.100000000000001" customHeight="1" x14ac:dyDescent="0.2">
      <c r="B10" s="30" t="s">
        <v>157</v>
      </c>
      <c r="C10" s="30" t="s">
        <v>144</v>
      </c>
      <c r="D10" s="30" t="s">
        <v>210</v>
      </c>
      <c r="E10" s="30" t="s">
        <v>211</v>
      </c>
      <c r="F10" s="30" t="s">
        <v>154</v>
      </c>
      <c r="G10" s="30" t="s">
        <v>212</v>
      </c>
      <c r="H10" s="30" t="s">
        <v>213</v>
      </c>
      <c r="I10" s="30" t="s">
        <v>91</v>
      </c>
      <c r="J10" s="30" t="s">
        <v>92</v>
      </c>
      <c r="K10" s="30" t="s">
        <v>93</v>
      </c>
      <c r="L10" s="30" t="s">
        <v>61</v>
      </c>
      <c r="M10" s="30" t="s">
        <v>62</v>
      </c>
      <c r="N10" s="30" t="s">
        <v>188</v>
      </c>
      <c r="O10" s="30" t="s">
        <v>190</v>
      </c>
      <c r="P10" s="30" t="s">
        <v>88</v>
      </c>
      <c r="Q10" s="30" t="s">
        <v>160</v>
      </c>
      <c r="R10" s="20" t="s">
        <v>214</v>
      </c>
      <c r="S10" s="17" t="s">
        <v>223</v>
      </c>
      <c r="T10" s="17" t="s">
        <v>224</v>
      </c>
      <c r="U10" s="21" t="s">
        <v>139</v>
      </c>
      <c r="V10" s="21" t="s">
        <v>159</v>
      </c>
      <c r="W10" s="22" t="s">
        <v>220</v>
      </c>
      <c r="X10" s="22" t="s">
        <v>221</v>
      </c>
      <c r="Y10" s="22" t="s">
        <v>222</v>
      </c>
    </row>
    <row r="11" spans="2:25" ht="20.100000000000001" customHeight="1" x14ac:dyDescent="0.2">
      <c r="B11" s="32" t="b">
        <f>AND($D$4&gt;=$D11,$D$4&lt;=$E11,$D$5&lt;=$H11,$D$5&gt;=$G11)</f>
        <v>0</v>
      </c>
      <c r="C11" s="30" t="s">
        <v>50</v>
      </c>
      <c r="D11" s="30">
        <v>480</v>
      </c>
      <c r="E11" s="30">
        <v>530</v>
      </c>
      <c r="F11" s="30" t="s">
        <v>64</v>
      </c>
      <c r="G11" s="33">
        <v>2.6</v>
      </c>
      <c r="H11" s="33">
        <v>5.2</v>
      </c>
      <c r="I11" s="30">
        <f>VLOOKUP(C11,calc_step_2!$A:$D,3,FALSE)</f>
        <v>1.1000000000000001</v>
      </c>
      <c r="J11" s="30">
        <f>VLOOKUP(C11,calc_step_2!$A:$D,4,FALSE)</f>
        <v>426</v>
      </c>
      <c r="K11" s="30">
        <f>VLOOKUP(C11,calc_step_2!$A:$E,5,FALSE)</f>
        <v>328</v>
      </c>
      <c r="L11" s="30" t="s">
        <v>0</v>
      </c>
      <c r="M11" s="30" t="s">
        <v>1</v>
      </c>
      <c r="N11" s="30" t="s">
        <v>239</v>
      </c>
      <c r="O11" s="30" t="s">
        <v>163</v>
      </c>
      <c r="P11" s="32"/>
      <c r="Q11" s="34">
        <v>1</v>
      </c>
      <c r="R11" s="20" t="str">
        <f t="shared" ref="R11:R44" si="0">IF($S11="","",VLOOKUP($S11,$C11:$Q11,R$8,FALSE))</f>
        <v/>
      </c>
      <c r="S11" s="17" t="str">
        <f t="shared" ref="S11:S44" si="1">IF(B11=$S$8,VLOOKUP($S$8,B11:P11,2,FALSE),"")</f>
        <v/>
      </c>
      <c r="T11" s="35" t="str">
        <f t="shared" ref="T11:T44" si="2">IF($S11="","",VLOOKUP($S11,$C11:$P11,T$8,FALSE))</f>
        <v/>
      </c>
      <c r="U11" s="21" t="str">
        <f t="shared" ref="U11:U44" si="3">IF($S11="","",(I11*$D$4)-J11-$D$2)</f>
        <v/>
      </c>
      <c r="V11" s="21" t="str">
        <f t="shared" ref="V11:V44" si="4">IF($S11="","",$D$4-U11-K11-($D$2+$D$3)+$D$6)</f>
        <v/>
      </c>
      <c r="W11" s="22" t="str">
        <f t="shared" ref="W11:W44" si="5">IF(R11="","",((1-G11/$D$5)+(1-$D$5/H11))/2)</f>
        <v/>
      </c>
      <c r="X11" s="22" t="str">
        <f t="shared" ref="X11:X44" si="6">IF(R11="","",(1-G11/$D$5))</f>
        <v/>
      </c>
      <c r="Y11" s="22" t="str">
        <f t="shared" ref="Y11:Y44" si="7">IF(R11="","",(1-$D$5/H11))</f>
        <v/>
      </c>
    </row>
    <row r="12" spans="2:25" ht="20.100000000000001" customHeight="1" x14ac:dyDescent="0.2">
      <c r="B12" s="32" t="b">
        <f t="shared" ref="B12:B44" si="8">AND($D$4&gt;=$D12,$D$4&lt;=$E12,$D$5&lt;=$H12,$D$5&gt;=$G12)</f>
        <v>0</v>
      </c>
      <c r="C12" s="30" t="s">
        <v>50</v>
      </c>
      <c r="D12" s="30">
        <v>480</v>
      </c>
      <c r="E12" s="30">
        <v>530</v>
      </c>
      <c r="F12" s="30" t="s">
        <v>65</v>
      </c>
      <c r="G12" s="33">
        <v>5.2</v>
      </c>
      <c r="H12" s="33">
        <v>10.6</v>
      </c>
      <c r="I12" s="30">
        <f>VLOOKUP(C12,calc_step_2!$A:$D,3,FALSE)</f>
        <v>1.1000000000000001</v>
      </c>
      <c r="J12" s="30">
        <f>VLOOKUP(C12,calc_step_2!$A:$D,4,FALSE)</f>
        <v>426</v>
      </c>
      <c r="K12" s="30">
        <f>VLOOKUP(C12,calc_step_2!$A:$E,5,FALSE)</f>
        <v>328</v>
      </c>
      <c r="L12" s="30" t="s">
        <v>2</v>
      </c>
      <c r="M12" s="30" t="s">
        <v>10</v>
      </c>
      <c r="N12" s="30" t="s">
        <v>240</v>
      </c>
      <c r="O12" s="30" t="s">
        <v>164</v>
      </c>
      <c r="P12" s="32"/>
      <c r="Q12" s="34">
        <v>2</v>
      </c>
      <c r="R12" s="20" t="str">
        <f t="shared" si="0"/>
        <v/>
      </c>
      <c r="S12" s="17" t="str">
        <f t="shared" si="1"/>
        <v/>
      </c>
      <c r="T12" s="35" t="str">
        <f t="shared" si="2"/>
        <v/>
      </c>
      <c r="U12" s="21" t="str">
        <f t="shared" si="3"/>
        <v/>
      </c>
      <c r="V12" s="21" t="str">
        <f t="shared" si="4"/>
        <v/>
      </c>
      <c r="W12" s="22" t="str">
        <f t="shared" si="5"/>
        <v/>
      </c>
      <c r="X12" s="22" t="str">
        <f t="shared" si="6"/>
        <v/>
      </c>
      <c r="Y12" s="22" t="str">
        <f t="shared" si="7"/>
        <v/>
      </c>
    </row>
    <row r="13" spans="2:25" ht="20.100000000000001" customHeight="1" x14ac:dyDescent="0.2">
      <c r="B13" s="121" t="b">
        <f t="shared" si="8"/>
        <v>0</v>
      </c>
      <c r="C13" s="122" t="s">
        <v>50</v>
      </c>
      <c r="D13" s="122">
        <v>480</v>
      </c>
      <c r="E13" s="122">
        <v>530</v>
      </c>
      <c r="F13" s="122" t="s">
        <v>66</v>
      </c>
      <c r="G13" s="123">
        <v>7.8</v>
      </c>
      <c r="H13" s="123">
        <v>15.1</v>
      </c>
      <c r="I13" s="122">
        <f>VLOOKUP(C13,calc_step_2!$A:$D,3,FALSE)</f>
        <v>1.1000000000000001</v>
      </c>
      <c r="J13" s="122">
        <f>VLOOKUP(C13,calc_step_2!$A:$D,4,FALSE)</f>
        <v>426</v>
      </c>
      <c r="K13" s="122">
        <f>VLOOKUP(C13,calc_step_2!$A:$E,5,FALSE)</f>
        <v>328</v>
      </c>
      <c r="L13" s="122" t="s">
        <v>3</v>
      </c>
      <c r="M13" s="122" t="s">
        <v>11</v>
      </c>
      <c r="N13" s="122" t="s">
        <v>241</v>
      </c>
      <c r="O13" s="122" t="s">
        <v>165</v>
      </c>
      <c r="P13" s="121"/>
      <c r="Q13" s="124">
        <v>3</v>
      </c>
      <c r="R13" s="125" t="str">
        <f t="shared" si="0"/>
        <v/>
      </c>
      <c r="S13" s="126" t="str">
        <f t="shared" si="1"/>
        <v/>
      </c>
      <c r="T13" s="127" t="str">
        <f t="shared" si="2"/>
        <v/>
      </c>
      <c r="U13" s="128" t="str">
        <f t="shared" si="3"/>
        <v/>
      </c>
      <c r="V13" s="128" t="str">
        <f t="shared" si="4"/>
        <v/>
      </c>
      <c r="W13" s="129" t="str">
        <f t="shared" si="5"/>
        <v/>
      </c>
      <c r="X13" s="129" t="str">
        <f t="shared" si="6"/>
        <v/>
      </c>
      <c r="Y13" s="129" t="str">
        <f t="shared" si="7"/>
        <v/>
      </c>
    </row>
    <row r="14" spans="2:25" ht="20.100000000000001" customHeight="1" x14ac:dyDescent="0.2">
      <c r="B14" s="32" t="b">
        <f t="shared" si="8"/>
        <v>0</v>
      </c>
      <c r="C14" s="30" t="s">
        <v>51</v>
      </c>
      <c r="D14" s="30">
        <v>520</v>
      </c>
      <c r="E14" s="30">
        <v>590</v>
      </c>
      <c r="F14" s="30" t="s">
        <v>67</v>
      </c>
      <c r="G14" s="33">
        <v>2.4</v>
      </c>
      <c r="H14" s="33">
        <v>4.9000000000000004</v>
      </c>
      <c r="I14" s="30">
        <f>VLOOKUP(C14,calc_step_2!$A:$D,3,FALSE)</f>
        <v>1.1000000000000001</v>
      </c>
      <c r="J14" s="30">
        <f>VLOOKUP(C14,calc_step_2!$A:$D,4,FALSE)</f>
        <v>466</v>
      </c>
      <c r="K14" s="30">
        <f>VLOOKUP(C14,calc_step_2!$A:$E,5,FALSE)</f>
        <v>347</v>
      </c>
      <c r="L14" s="30" t="s">
        <v>4</v>
      </c>
      <c r="M14" s="30" t="s">
        <v>7</v>
      </c>
      <c r="N14" s="30" t="s">
        <v>242</v>
      </c>
      <c r="O14" s="30" t="s">
        <v>166</v>
      </c>
      <c r="P14" s="32"/>
      <c r="Q14" s="34">
        <v>4</v>
      </c>
      <c r="R14" s="20" t="str">
        <f t="shared" si="0"/>
        <v/>
      </c>
      <c r="S14" s="17" t="str">
        <f t="shared" si="1"/>
        <v/>
      </c>
      <c r="T14" s="35" t="str">
        <f t="shared" si="2"/>
        <v/>
      </c>
      <c r="U14" s="21" t="str">
        <f t="shared" si="3"/>
        <v/>
      </c>
      <c r="V14" s="21" t="str">
        <f t="shared" si="4"/>
        <v/>
      </c>
      <c r="W14" s="22" t="str">
        <f t="shared" si="5"/>
        <v/>
      </c>
      <c r="X14" s="22" t="str">
        <f t="shared" si="6"/>
        <v/>
      </c>
      <c r="Y14" s="22" t="str">
        <f t="shared" si="7"/>
        <v/>
      </c>
    </row>
    <row r="15" spans="2:25" ht="20.100000000000001" customHeight="1" x14ac:dyDescent="0.2">
      <c r="B15" s="32" t="b">
        <f t="shared" si="8"/>
        <v>0</v>
      </c>
      <c r="C15" s="30" t="s">
        <v>51</v>
      </c>
      <c r="D15" s="30">
        <v>520</v>
      </c>
      <c r="E15" s="30">
        <v>590</v>
      </c>
      <c r="F15" s="30" t="s">
        <v>68</v>
      </c>
      <c r="G15" s="33">
        <v>4.8</v>
      </c>
      <c r="H15" s="33">
        <v>9.8000000000000007</v>
      </c>
      <c r="I15" s="30">
        <f>VLOOKUP(C15,calc_step_2!$A:$D,3,FALSE)</f>
        <v>1.1000000000000001</v>
      </c>
      <c r="J15" s="30">
        <f>VLOOKUP(C15,calc_step_2!$A:$D,4,FALSE)</f>
        <v>466</v>
      </c>
      <c r="K15" s="30">
        <f>VLOOKUP(C15,calc_step_2!$A:$E,5,FALSE)</f>
        <v>347</v>
      </c>
      <c r="L15" s="30" t="s">
        <v>5</v>
      </c>
      <c r="M15" s="30" t="s">
        <v>8</v>
      </c>
      <c r="N15" s="30" t="s">
        <v>243</v>
      </c>
      <c r="O15" s="30" t="s">
        <v>167</v>
      </c>
      <c r="P15" s="32"/>
      <c r="Q15" s="34">
        <v>5</v>
      </c>
      <c r="R15" s="20" t="str">
        <f t="shared" si="0"/>
        <v/>
      </c>
      <c r="S15" s="17" t="str">
        <f t="shared" si="1"/>
        <v/>
      </c>
      <c r="T15" s="35" t="str">
        <f t="shared" si="2"/>
        <v/>
      </c>
      <c r="U15" s="21" t="str">
        <f t="shared" si="3"/>
        <v/>
      </c>
      <c r="V15" s="21" t="str">
        <f t="shared" si="4"/>
        <v/>
      </c>
      <c r="W15" s="22" t="str">
        <f t="shared" si="5"/>
        <v/>
      </c>
      <c r="X15" s="22" t="str">
        <f t="shared" si="6"/>
        <v/>
      </c>
      <c r="Y15" s="22" t="str">
        <f t="shared" si="7"/>
        <v/>
      </c>
    </row>
    <row r="16" spans="2:25" ht="20.100000000000001" customHeight="1" x14ac:dyDescent="0.2">
      <c r="B16" s="32" t="b">
        <f t="shared" si="8"/>
        <v>0</v>
      </c>
      <c r="C16" s="30" t="s">
        <v>51</v>
      </c>
      <c r="D16" s="30">
        <v>520</v>
      </c>
      <c r="E16" s="30">
        <v>590</v>
      </c>
      <c r="F16" s="30" t="s">
        <v>69</v>
      </c>
      <c r="G16" s="33">
        <v>7.2</v>
      </c>
      <c r="H16" s="33">
        <v>14.1</v>
      </c>
      <c r="I16" s="30">
        <f>VLOOKUP(C16,calc_step_2!$A:$D,3,FALSE)</f>
        <v>1.1000000000000001</v>
      </c>
      <c r="J16" s="30">
        <f>VLOOKUP(C16,calc_step_2!$A:$D,4,FALSE)</f>
        <v>466</v>
      </c>
      <c r="K16" s="30">
        <f>VLOOKUP(C16,calc_step_2!$A:$E,5,FALSE)</f>
        <v>347</v>
      </c>
      <c r="L16" s="30" t="s">
        <v>6</v>
      </c>
      <c r="M16" s="30" t="s">
        <v>9</v>
      </c>
      <c r="N16" s="30" t="s">
        <v>244</v>
      </c>
      <c r="O16" s="30" t="s">
        <v>168</v>
      </c>
      <c r="P16" s="32"/>
      <c r="Q16" s="34">
        <v>6</v>
      </c>
      <c r="R16" s="20" t="str">
        <f t="shared" si="0"/>
        <v/>
      </c>
      <c r="S16" s="17" t="str">
        <f t="shared" si="1"/>
        <v/>
      </c>
      <c r="T16" s="35" t="str">
        <f t="shared" si="2"/>
        <v/>
      </c>
      <c r="U16" s="21" t="str">
        <f t="shared" si="3"/>
        <v/>
      </c>
      <c r="V16" s="21" t="str">
        <f t="shared" si="4"/>
        <v/>
      </c>
      <c r="W16" s="22" t="str">
        <f t="shared" si="5"/>
        <v/>
      </c>
      <c r="X16" s="22" t="str">
        <f t="shared" si="6"/>
        <v/>
      </c>
      <c r="Y16" s="22" t="str">
        <f t="shared" si="7"/>
        <v/>
      </c>
    </row>
    <row r="17" spans="2:25" ht="20.100000000000001" customHeight="1" x14ac:dyDescent="0.2">
      <c r="B17" s="121" t="b">
        <f>AND($D$4&gt;=$D17,$D$4&lt;=$E17,$D$5&lt;=$H17,$D$5&gt;=$G17)</f>
        <v>0</v>
      </c>
      <c r="C17" s="122" t="s">
        <v>51</v>
      </c>
      <c r="D17" s="122">
        <v>520</v>
      </c>
      <c r="E17" s="122">
        <v>590</v>
      </c>
      <c r="F17" s="122" t="s">
        <v>298</v>
      </c>
      <c r="G17" s="123">
        <v>11.8</v>
      </c>
      <c r="H17" s="123">
        <v>23.3</v>
      </c>
      <c r="I17" s="122">
        <f>VLOOKUP(C17,calc_step_2!$A:$D,3,FALSE)</f>
        <v>1.1000000000000001</v>
      </c>
      <c r="J17" s="122">
        <f>VLOOKUP(C17,calc_step_2!$A:$D,4,FALSE)</f>
        <v>466</v>
      </c>
      <c r="K17" s="122">
        <f>VLOOKUP(C17,calc_step_2!$A:$E,5,FALSE)</f>
        <v>347</v>
      </c>
      <c r="L17" s="122" t="s">
        <v>299</v>
      </c>
      <c r="M17" s="122" t="s">
        <v>300</v>
      </c>
      <c r="N17" s="122" t="s">
        <v>301</v>
      </c>
      <c r="O17" s="122" t="s">
        <v>302</v>
      </c>
      <c r="P17" s="121"/>
      <c r="Q17" s="124">
        <v>7</v>
      </c>
      <c r="R17" s="125" t="str">
        <f t="shared" si="0"/>
        <v/>
      </c>
      <c r="S17" s="126" t="str">
        <f t="shared" si="1"/>
        <v/>
      </c>
      <c r="T17" s="127" t="str">
        <f t="shared" si="2"/>
        <v/>
      </c>
      <c r="U17" s="128" t="str">
        <f t="shared" si="3"/>
        <v/>
      </c>
      <c r="V17" s="128" t="str">
        <f t="shared" si="4"/>
        <v/>
      </c>
      <c r="W17" s="129" t="str">
        <f t="shared" si="5"/>
        <v/>
      </c>
      <c r="X17" s="129" t="str">
        <f t="shared" si="6"/>
        <v/>
      </c>
      <c r="Y17" s="129" t="str">
        <f t="shared" si="7"/>
        <v/>
      </c>
    </row>
    <row r="18" spans="2:25" ht="20.100000000000001" customHeight="1" x14ac:dyDescent="0.2">
      <c r="B18" s="32" t="b">
        <f t="shared" si="8"/>
        <v>0</v>
      </c>
      <c r="C18" s="30" t="s">
        <v>52</v>
      </c>
      <c r="D18" s="30">
        <v>580</v>
      </c>
      <c r="E18" s="30">
        <v>650</v>
      </c>
      <c r="F18" s="30" t="s">
        <v>70</v>
      </c>
      <c r="G18" s="33">
        <v>2.2000000000000002</v>
      </c>
      <c r="H18" s="33">
        <v>4.4000000000000004</v>
      </c>
      <c r="I18" s="30">
        <f>VLOOKUP(C18,calc_step_2!$A:$D,3,FALSE)</f>
        <v>1.2</v>
      </c>
      <c r="J18" s="30">
        <f>VLOOKUP(C18,calc_step_2!$A:$D,4,FALSE)</f>
        <v>589</v>
      </c>
      <c r="K18" s="30">
        <f>VLOOKUP(C18,calc_step_2!$A:$E,5,FALSE)</f>
        <v>377</v>
      </c>
      <c r="L18" s="30" t="s">
        <v>12</v>
      </c>
      <c r="M18" s="30" t="s">
        <v>31</v>
      </c>
      <c r="N18" s="30" t="s">
        <v>245</v>
      </c>
      <c r="O18" s="30" t="s">
        <v>169</v>
      </c>
      <c r="P18" s="32"/>
      <c r="Q18" s="34">
        <v>8</v>
      </c>
      <c r="R18" s="20" t="str">
        <f t="shared" si="0"/>
        <v/>
      </c>
      <c r="S18" s="17" t="str">
        <f t="shared" si="1"/>
        <v/>
      </c>
      <c r="T18" s="35" t="str">
        <f t="shared" si="2"/>
        <v/>
      </c>
      <c r="U18" s="21" t="str">
        <f t="shared" si="3"/>
        <v/>
      </c>
      <c r="V18" s="21" t="str">
        <f t="shared" si="4"/>
        <v/>
      </c>
      <c r="W18" s="22" t="str">
        <f t="shared" si="5"/>
        <v/>
      </c>
      <c r="X18" s="22" t="str">
        <f t="shared" si="6"/>
        <v/>
      </c>
      <c r="Y18" s="22" t="str">
        <f t="shared" si="7"/>
        <v/>
      </c>
    </row>
    <row r="19" spans="2:25" ht="20.100000000000001" customHeight="1" x14ac:dyDescent="0.2">
      <c r="B19" s="32" t="b">
        <f t="shared" si="8"/>
        <v>0</v>
      </c>
      <c r="C19" s="30" t="s">
        <v>52</v>
      </c>
      <c r="D19" s="30">
        <v>580</v>
      </c>
      <c r="E19" s="30">
        <v>650</v>
      </c>
      <c r="F19" s="30" t="s">
        <v>71</v>
      </c>
      <c r="G19" s="33">
        <v>4.3</v>
      </c>
      <c r="H19" s="33">
        <v>8.8000000000000007</v>
      </c>
      <c r="I19" s="30">
        <f>VLOOKUP(C19,calc_step_2!$A:$D,3,FALSE)</f>
        <v>1.2</v>
      </c>
      <c r="J19" s="30">
        <f>VLOOKUP(C19,calc_step_2!$A:$D,4,FALSE)</f>
        <v>589</v>
      </c>
      <c r="K19" s="30">
        <f>VLOOKUP(C19,calc_step_2!$A:$E,5,FALSE)</f>
        <v>377</v>
      </c>
      <c r="L19" s="30" t="s">
        <v>13</v>
      </c>
      <c r="M19" s="30" t="s">
        <v>32</v>
      </c>
      <c r="N19" s="30" t="s">
        <v>246</v>
      </c>
      <c r="O19" s="30" t="s">
        <v>170</v>
      </c>
      <c r="P19" s="32"/>
      <c r="Q19" s="34">
        <v>9</v>
      </c>
      <c r="R19" s="20" t="str">
        <f t="shared" si="0"/>
        <v/>
      </c>
      <c r="S19" s="17" t="str">
        <f t="shared" si="1"/>
        <v/>
      </c>
      <c r="T19" s="35" t="str">
        <f t="shared" si="2"/>
        <v/>
      </c>
      <c r="U19" s="21" t="str">
        <f t="shared" si="3"/>
        <v/>
      </c>
      <c r="V19" s="21" t="str">
        <f t="shared" si="4"/>
        <v/>
      </c>
      <c r="W19" s="22" t="str">
        <f t="shared" si="5"/>
        <v/>
      </c>
      <c r="X19" s="22" t="str">
        <f t="shared" si="6"/>
        <v/>
      </c>
      <c r="Y19" s="22" t="str">
        <f t="shared" si="7"/>
        <v/>
      </c>
    </row>
    <row r="20" spans="2:25" ht="20.100000000000001" customHeight="1" x14ac:dyDescent="0.2">
      <c r="B20" s="32" t="b">
        <f t="shared" si="8"/>
        <v>0</v>
      </c>
      <c r="C20" s="30" t="s">
        <v>52</v>
      </c>
      <c r="D20" s="30">
        <v>580</v>
      </c>
      <c r="E20" s="30">
        <v>650</v>
      </c>
      <c r="F20" s="30" t="s">
        <v>72</v>
      </c>
      <c r="G20" s="33">
        <v>6</v>
      </c>
      <c r="H20" s="33">
        <v>12.2</v>
      </c>
      <c r="I20" s="30">
        <f>VLOOKUP(C20,calc_step_2!$A:$D,3,FALSE)</f>
        <v>1.2</v>
      </c>
      <c r="J20" s="30">
        <f>VLOOKUP(C20,calc_step_2!$A:$D,4,FALSE)</f>
        <v>589</v>
      </c>
      <c r="K20" s="30">
        <f>VLOOKUP(C20,calc_step_2!$A:$E,5,FALSE)</f>
        <v>377</v>
      </c>
      <c r="L20" s="30" t="s">
        <v>14</v>
      </c>
      <c r="M20" s="30" t="s">
        <v>33</v>
      </c>
      <c r="N20" s="30" t="s">
        <v>247</v>
      </c>
      <c r="O20" s="30" t="s">
        <v>171</v>
      </c>
      <c r="P20" s="32"/>
      <c r="Q20" s="34">
        <v>10</v>
      </c>
      <c r="R20" s="20" t="str">
        <f t="shared" si="0"/>
        <v/>
      </c>
      <c r="S20" s="17" t="str">
        <f t="shared" si="1"/>
        <v/>
      </c>
      <c r="T20" s="35" t="str">
        <f t="shared" si="2"/>
        <v/>
      </c>
      <c r="U20" s="21" t="str">
        <f t="shared" si="3"/>
        <v/>
      </c>
      <c r="V20" s="21" t="str">
        <f t="shared" si="4"/>
        <v/>
      </c>
      <c r="W20" s="22" t="str">
        <f t="shared" si="5"/>
        <v/>
      </c>
      <c r="X20" s="22" t="str">
        <f t="shared" si="6"/>
        <v/>
      </c>
      <c r="Y20" s="22" t="str">
        <f t="shared" si="7"/>
        <v/>
      </c>
    </row>
    <row r="21" spans="2:25" ht="20.100000000000001" customHeight="1" x14ac:dyDescent="0.2">
      <c r="B21" s="121" t="b">
        <f t="shared" si="8"/>
        <v>0</v>
      </c>
      <c r="C21" s="122" t="s">
        <v>52</v>
      </c>
      <c r="D21" s="122">
        <v>580</v>
      </c>
      <c r="E21" s="122">
        <v>650</v>
      </c>
      <c r="F21" s="122" t="s">
        <v>73</v>
      </c>
      <c r="G21" s="123">
        <v>10.6</v>
      </c>
      <c r="H21" s="123">
        <v>20.9</v>
      </c>
      <c r="I21" s="122">
        <f>VLOOKUP(C21,calc_step_2!$A:$D,3,FALSE)</f>
        <v>1.2</v>
      </c>
      <c r="J21" s="122">
        <f>VLOOKUP(C21,calc_step_2!$A:$D,4,FALSE)</f>
        <v>589</v>
      </c>
      <c r="K21" s="122">
        <f>VLOOKUP(C21,calc_step_2!$A:$E,5,FALSE)</f>
        <v>377</v>
      </c>
      <c r="L21" s="122" t="s">
        <v>15</v>
      </c>
      <c r="M21" s="122" t="s">
        <v>34</v>
      </c>
      <c r="N21" s="122" t="s">
        <v>248</v>
      </c>
      <c r="O21" s="122" t="s">
        <v>172</v>
      </c>
      <c r="P21" s="121"/>
      <c r="Q21" s="124">
        <v>11</v>
      </c>
      <c r="R21" s="125" t="str">
        <f t="shared" si="0"/>
        <v/>
      </c>
      <c r="S21" s="126" t="str">
        <f t="shared" si="1"/>
        <v/>
      </c>
      <c r="T21" s="127" t="str">
        <f t="shared" si="2"/>
        <v/>
      </c>
      <c r="U21" s="128" t="str">
        <f t="shared" si="3"/>
        <v/>
      </c>
      <c r="V21" s="128" t="str">
        <f t="shared" si="4"/>
        <v/>
      </c>
      <c r="W21" s="129" t="str">
        <f t="shared" si="5"/>
        <v/>
      </c>
      <c r="X21" s="129" t="str">
        <f t="shared" si="6"/>
        <v/>
      </c>
      <c r="Y21" s="129" t="str">
        <f t="shared" si="7"/>
        <v/>
      </c>
    </row>
    <row r="22" spans="2:25" ht="20.100000000000001" customHeight="1" x14ac:dyDescent="0.2">
      <c r="B22" s="130" t="b">
        <f t="shared" si="8"/>
        <v>0</v>
      </c>
      <c r="C22" s="131" t="s">
        <v>53</v>
      </c>
      <c r="D22" s="131">
        <v>650</v>
      </c>
      <c r="E22" s="131">
        <v>730</v>
      </c>
      <c r="F22" s="131" t="s">
        <v>311</v>
      </c>
      <c r="G22" s="132">
        <v>1.9</v>
      </c>
      <c r="H22" s="132">
        <v>4</v>
      </c>
      <c r="I22" s="131">
        <f>VLOOKUP(C22,calc_step_2!$A:$D,3,FALSE)</f>
        <v>1.2</v>
      </c>
      <c r="J22" s="131">
        <f>VLOOKUP(C22,calc_step_2!$A:$D,4,FALSE)</f>
        <v>664</v>
      </c>
      <c r="K22" s="131">
        <f>VLOOKUP(C22,calc_step_2!$A:$E,5,FALSE)</f>
        <v>409</v>
      </c>
      <c r="L22" s="131" t="s">
        <v>312</v>
      </c>
      <c r="M22" s="131" t="s">
        <v>313</v>
      </c>
      <c r="N22" s="131" t="s">
        <v>314</v>
      </c>
      <c r="O22" s="131" t="s">
        <v>315</v>
      </c>
      <c r="P22" s="130"/>
      <c r="Q22" s="133">
        <v>12</v>
      </c>
      <c r="R22" s="134" t="str">
        <f t="shared" si="0"/>
        <v/>
      </c>
      <c r="S22" s="135" t="str">
        <f t="shared" si="1"/>
        <v/>
      </c>
      <c r="T22" s="136" t="str">
        <f t="shared" si="2"/>
        <v/>
      </c>
      <c r="U22" s="137" t="str">
        <f t="shared" si="3"/>
        <v/>
      </c>
      <c r="V22" s="137" t="str">
        <f t="shared" si="4"/>
        <v/>
      </c>
      <c r="W22" s="138" t="str">
        <f t="shared" si="5"/>
        <v/>
      </c>
      <c r="X22" s="138" t="str">
        <f t="shared" si="6"/>
        <v/>
      </c>
      <c r="Y22" s="138" t="str">
        <f t="shared" si="7"/>
        <v/>
      </c>
    </row>
    <row r="23" spans="2:25" ht="20.100000000000001" customHeight="1" x14ac:dyDescent="0.2">
      <c r="B23" s="32" t="b">
        <f t="shared" si="8"/>
        <v>0</v>
      </c>
      <c r="C23" s="30" t="s">
        <v>53</v>
      </c>
      <c r="D23" s="30">
        <v>650</v>
      </c>
      <c r="E23" s="30">
        <v>730</v>
      </c>
      <c r="F23" s="30" t="s">
        <v>74</v>
      </c>
      <c r="G23" s="33">
        <v>3.9</v>
      </c>
      <c r="H23" s="33">
        <v>7.9</v>
      </c>
      <c r="I23" s="30">
        <f>VLOOKUP(C23,calc_step_2!$A:$D,3,FALSE)</f>
        <v>1.2</v>
      </c>
      <c r="J23" s="30">
        <f>VLOOKUP(C23,calc_step_2!$A:$D,4,FALSE)</f>
        <v>664</v>
      </c>
      <c r="K23" s="30">
        <f>VLOOKUP(C23,calc_step_2!$A:$E,5,FALSE)</f>
        <v>409</v>
      </c>
      <c r="L23" s="30" t="s">
        <v>16</v>
      </c>
      <c r="M23" s="30" t="s">
        <v>35</v>
      </c>
      <c r="N23" s="30" t="s">
        <v>249</v>
      </c>
      <c r="O23" s="30" t="s">
        <v>173</v>
      </c>
      <c r="P23" s="32"/>
      <c r="Q23" s="34">
        <v>13</v>
      </c>
      <c r="R23" s="20" t="str">
        <f t="shared" si="0"/>
        <v/>
      </c>
      <c r="S23" s="17" t="str">
        <f t="shared" si="1"/>
        <v/>
      </c>
      <c r="T23" s="35" t="str">
        <f t="shared" si="2"/>
        <v/>
      </c>
      <c r="U23" s="21" t="str">
        <f t="shared" si="3"/>
        <v/>
      </c>
      <c r="V23" s="21" t="str">
        <f t="shared" si="4"/>
        <v/>
      </c>
      <c r="W23" s="22" t="str">
        <f t="shared" si="5"/>
        <v/>
      </c>
      <c r="X23" s="22" t="str">
        <f t="shared" si="6"/>
        <v/>
      </c>
      <c r="Y23" s="22" t="str">
        <f t="shared" si="7"/>
        <v/>
      </c>
    </row>
    <row r="24" spans="2:25" ht="20.100000000000001" customHeight="1" x14ac:dyDescent="0.2">
      <c r="B24" s="32" t="b">
        <f t="shared" si="8"/>
        <v>0</v>
      </c>
      <c r="C24" s="30" t="s">
        <v>53</v>
      </c>
      <c r="D24" s="30">
        <v>650</v>
      </c>
      <c r="E24" s="30">
        <v>730</v>
      </c>
      <c r="F24" s="30" t="s">
        <v>75</v>
      </c>
      <c r="G24" s="33">
        <v>5.8</v>
      </c>
      <c r="H24" s="33">
        <v>11.6</v>
      </c>
      <c r="I24" s="30">
        <f>VLOOKUP(C24,calc_step_2!$A:$D,3,FALSE)</f>
        <v>1.2</v>
      </c>
      <c r="J24" s="30">
        <f>VLOOKUP(C24,calc_step_2!$A:$D,4,FALSE)</f>
        <v>664</v>
      </c>
      <c r="K24" s="30">
        <f>VLOOKUP(C24,calc_step_2!$A:$E,5,FALSE)</f>
        <v>409</v>
      </c>
      <c r="L24" s="30" t="s">
        <v>17</v>
      </c>
      <c r="M24" s="30" t="s">
        <v>36</v>
      </c>
      <c r="N24" s="30" t="s">
        <v>250</v>
      </c>
      <c r="O24" s="30" t="s">
        <v>174</v>
      </c>
      <c r="P24" s="32"/>
      <c r="Q24" s="34">
        <v>14</v>
      </c>
      <c r="R24" s="20" t="str">
        <f t="shared" si="0"/>
        <v/>
      </c>
      <c r="S24" s="17" t="str">
        <f t="shared" si="1"/>
        <v/>
      </c>
      <c r="T24" s="35" t="str">
        <f t="shared" si="2"/>
        <v/>
      </c>
      <c r="U24" s="21" t="str">
        <f t="shared" si="3"/>
        <v/>
      </c>
      <c r="V24" s="21" t="str">
        <f t="shared" si="4"/>
        <v/>
      </c>
      <c r="W24" s="22" t="str">
        <f t="shared" si="5"/>
        <v/>
      </c>
      <c r="X24" s="22" t="str">
        <f t="shared" si="6"/>
        <v/>
      </c>
      <c r="Y24" s="22" t="str">
        <f t="shared" si="7"/>
        <v/>
      </c>
    </row>
    <row r="25" spans="2:25" ht="20.100000000000001" customHeight="1" x14ac:dyDescent="0.2">
      <c r="B25" s="121" t="b">
        <f t="shared" si="8"/>
        <v>0</v>
      </c>
      <c r="C25" s="122" t="s">
        <v>53</v>
      </c>
      <c r="D25" s="122">
        <v>650</v>
      </c>
      <c r="E25" s="122">
        <v>730</v>
      </c>
      <c r="F25" s="122" t="s">
        <v>76</v>
      </c>
      <c r="G25" s="123">
        <v>9.5</v>
      </c>
      <c r="H25" s="123">
        <v>18.7</v>
      </c>
      <c r="I25" s="122">
        <f>VLOOKUP(C25,calc_step_2!$A:$D,3,FALSE)</f>
        <v>1.2</v>
      </c>
      <c r="J25" s="122">
        <f>VLOOKUP(C25,calc_step_2!$A:$D,4,FALSE)</f>
        <v>664</v>
      </c>
      <c r="K25" s="122">
        <f>VLOOKUP(C25,calc_step_2!$A:$E,5,FALSE)</f>
        <v>409</v>
      </c>
      <c r="L25" s="122" t="s">
        <v>18</v>
      </c>
      <c r="M25" s="122" t="s">
        <v>37</v>
      </c>
      <c r="N25" s="122" t="s">
        <v>251</v>
      </c>
      <c r="O25" s="122" t="s">
        <v>175</v>
      </c>
      <c r="P25" s="121"/>
      <c r="Q25" s="124">
        <v>15</v>
      </c>
      <c r="R25" s="125" t="str">
        <f t="shared" si="0"/>
        <v/>
      </c>
      <c r="S25" s="126" t="str">
        <f t="shared" si="1"/>
        <v/>
      </c>
      <c r="T25" s="127" t="str">
        <f t="shared" si="2"/>
        <v/>
      </c>
      <c r="U25" s="128" t="str">
        <f t="shared" si="3"/>
        <v/>
      </c>
      <c r="V25" s="128" t="str">
        <f t="shared" si="4"/>
        <v/>
      </c>
      <c r="W25" s="129" t="str">
        <f t="shared" si="5"/>
        <v/>
      </c>
      <c r="X25" s="129" t="str">
        <f t="shared" si="6"/>
        <v/>
      </c>
      <c r="Y25" s="129" t="str">
        <f t="shared" si="7"/>
        <v/>
      </c>
    </row>
    <row r="26" spans="2:25" ht="20.100000000000001" customHeight="1" x14ac:dyDescent="0.2">
      <c r="B26" s="130" t="b">
        <f t="shared" si="8"/>
        <v>0</v>
      </c>
      <c r="C26" s="131" t="s">
        <v>54</v>
      </c>
      <c r="D26" s="131">
        <v>710</v>
      </c>
      <c r="E26" s="131">
        <v>790</v>
      </c>
      <c r="F26" s="131" t="s">
        <v>77</v>
      </c>
      <c r="G26" s="132">
        <v>3.5</v>
      </c>
      <c r="H26" s="132">
        <v>7.2</v>
      </c>
      <c r="I26" s="131">
        <f>VLOOKUP(C26,calc_step_2!$A:$D,3,FALSE)</f>
        <v>1.2</v>
      </c>
      <c r="J26" s="131">
        <f>VLOOKUP(C26,calc_step_2!$A:$D,4,FALSE)</f>
        <v>736</v>
      </c>
      <c r="K26" s="131">
        <f>VLOOKUP(C26,calc_step_2!$A:$E,5,FALSE)</f>
        <v>439</v>
      </c>
      <c r="L26" s="131" t="s">
        <v>19</v>
      </c>
      <c r="M26" s="131" t="s">
        <v>38</v>
      </c>
      <c r="N26" s="131" t="s">
        <v>252</v>
      </c>
      <c r="O26" s="131" t="s">
        <v>176</v>
      </c>
      <c r="P26" s="130"/>
      <c r="Q26" s="133">
        <v>16</v>
      </c>
      <c r="R26" s="134" t="str">
        <f t="shared" si="0"/>
        <v/>
      </c>
      <c r="S26" s="135" t="str">
        <f t="shared" si="1"/>
        <v/>
      </c>
      <c r="T26" s="136" t="str">
        <f t="shared" si="2"/>
        <v/>
      </c>
      <c r="U26" s="137" t="str">
        <f t="shared" si="3"/>
        <v/>
      </c>
      <c r="V26" s="137" t="str">
        <f t="shared" si="4"/>
        <v/>
      </c>
      <c r="W26" s="138" t="str">
        <f t="shared" si="5"/>
        <v/>
      </c>
      <c r="X26" s="138" t="str">
        <f t="shared" si="6"/>
        <v/>
      </c>
      <c r="Y26" s="138" t="str">
        <f t="shared" si="7"/>
        <v/>
      </c>
    </row>
    <row r="27" spans="2:25" ht="20.100000000000001" customHeight="1" x14ac:dyDescent="0.2">
      <c r="B27" s="32" t="b">
        <f t="shared" si="8"/>
        <v>0</v>
      </c>
      <c r="C27" s="30" t="s">
        <v>54</v>
      </c>
      <c r="D27" s="30">
        <v>710</v>
      </c>
      <c r="E27" s="30">
        <v>790</v>
      </c>
      <c r="F27" s="30" t="s">
        <v>63</v>
      </c>
      <c r="G27" s="33">
        <v>5.2</v>
      </c>
      <c r="H27" s="33">
        <v>10.3</v>
      </c>
      <c r="I27" s="30">
        <f>VLOOKUP(C27,calc_step_2!$A:$D,3,FALSE)</f>
        <v>1.2</v>
      </c>
      <c r="J27" s="30">
        <f>VLOOKUP(C27,calc_step_2!$A:$D,4,FALSE)</f>
        <v>736</v>
      </c>
      <c r="K27" s="30">
        <f>VLOOKUP(C27,calc_step_2!$A:$E,5,FALSE)</f>
        <v>439</v>
      </c>
      <c r="L27" s="30" t="s">
        <v>20</v>
      </c>
      <c r="M27" s="30" t="s">
        <v>39</v>
      </c>
      <c r="N27" s="30" t="s">
        <v>253</v>
      </c>
      <c r="O27" s="30" t="s">
        <v>177</v>
      </c>
      <c r="P27" s="32"/>
      <c r="Q27" s="34">
        <v>17</v>
      </c>
      <c r="R27" s="20" t="str">
        <f t="shared" si="0"/>
        <v/>
      </c>
      <c r="S27" s="17" t="str">
        <f t="shared" si="1"/>
        <v/>
      </c>
      <c r="T27" s="35" t="str">
        <f t="shared" si="2"/>
        <v/>
      </c>
      <c r="U27" s="21" t="str">
        <f t="shared" si="3"/>
        <v/>
      </c>
      <c r="V27" s="21" t="str">
        <f t="shared" si="4"/>
        <v/>
      </c>
      <c r="W27" s="22" t="str">
        <f t="shared" si="5"/>
        <v/>
      </c>
      <c r="X27" s="22" t="str">
        <f t="shared" si="6"/>
        <v/>
      </c>
      <c r="Y27" s="22" t="str">
        <f t="shared" si="7"/>
        <v/>
      </c>
    </row>
    <row r="28" spans="2:25" ht="20.100000000000001" customHeight="1" x14ac:dyDescent="0.2">
      <c r="B28" s="121" t="b">
        <f t="shared" si="8"/>
        <v>0</v>
      </c>
      <c r="C28" s="122" t="s">
        <v>54</v>
      </c>
      <c r="D28" s="122">
        <v>710</v>
      </c>
      <c r="E28" s="122">
        <v>790</v>
      </c>
      <c r="F28" s="122" t="s">
        <v>78</v>
      </c>
      <c r="G28" s="123">
        <v>8.6999999999999993</v>
      </c>
      <c r="H28" s="123">
        <v>17.2</v>
      </c>
      <c r="I28" s="122">
        <f>VLOOKUP(C28,calc_step_2!$A:$D,3,FALSE)</f>
        <v>1.2</v>
      </c>
      <c r="J28" s="122">
        <f>VLOOKUP(C28,calc_step_2!$A:$D,4,FALSE)</f>
        <v>736</v>
      </c>
      <c r="K28" s="122">
        <f>VLOOKUP(C28,calc_step_2!$A:$E,5,FALSE)</f>
        <v>439</v>
      </c>
      <c r="L28" s="122" t="s">
        <v>21</v>
      </c>
      <c r="M28" s="122" t="s">
        <v>40</v>
      </c>
      <c r="N28" s="122" t="s">
        <v>254</v>
      </c>
      <c r="O28" s="122" t="s">
        <v>178</v>
      </c>
      <c r="P28" s="121"/>
      <c r="Q28" s="124">
        <v>18</v>
      </c>
      <c r="R28" s="125" t="str">
        <f t="shared" si="0"/>
        <v/>
      </c>
      <c r="S28" s="126" t="str">
        <f t="shared" si="1"/>
        <v/>
      </c>
      <c r="T28" s="127" t="str">
        <f t="shared" si="2"/>
        <v/>
      </c>
      <c r="U28" s="128" t="str">
        <f t="shared" si="3"/>
        <v/>
      </c>
      <c r="V28" s="128" t="str">
        <f t="shared" si="4"/>
        <v/>
      </c>
      <c r="W28" s="129" t="str">
        <f t="shared" si="5"/>
        <v/>
      </c>
      <c r="X28" s="129" t="str">
        <f t="shared" si="6"/>
        <v/>
      </c>
      <c r="Y28" s="129" t="str">
        <f t="shared" si="7"/>
        <v/>
      </c>
    </row>
    <row r="29" spans="2:25" ht="20.100000000000001" customHeight="1" x14ac:dyDescent="0.2">
      <c r="B29" s="130" t="b">
        <f t="shared" si="8"/>
        <v>1</v>
      </c>
      <c r="C29" s="131" t="s">
        <v>55</v>
      </c>
      <c r="D29" s="131">
        <v>770</v>
      </c>
      <c r="E29" s="131">
        <v>840</v>
      </c>
      <c r="F29" s="131" t="s">
        <v>191</v>
      </c>
      <c r="G29" s="132">
        <v>3.2</v>
      </c>
      <c r="H29" s="132">
        <v>6.7</v>
      </c>
      <c r="I29" s="131">
        <f>VLOOKUP(C29,calc_step_2!$A:$D,3,FALSE)</f>
        <v>1</v>
      </c>
      <c r="J29" s="131">
        <f>VLOOKUP(C29,calc_step_2!$A:$D,4,FALSE)</f>
        <v>644</v>
      </c>
      <c r="K29" s="131">
        <f>VLOOKUP(C29,calc_step_2!$A:$E,5,FALSE)</f>
        <v>467</v>
      </c>
      <c r="L29" s="131" t="s">
        <v>316</v>
      </c>
      <c r="M29" s="131" t="s">
        <v>317</v>
      </c>
      <c r="N29" s="131" t="s">
        <v>310</v>
      </c>
      <c r="O29" s="131" t="s">
        <v>319</v>
      </c>
      <c r="P29" s="130"/>
      <c r="Q29" s="133">
        <v>19</v>
      </c>
      <c r="R29" s="134">
        <f t="shared" si="0"/>
        <v>19</v>
      </c>
      <c r="S29" s="135" t="str">
        <f t="shared" si="1"/>
        <v>770–840</v>
      </c>
      <c r="T29" s="136" t="str">
        <f t="shared" si="2"/>
        <v>3,2–6,7</v>
      </c>
      <c r="U29" s="137">
        <f t="shared" si="3"/>
        <v>138</v>
      </c>
      <c r="V29" s="137">
        <f t="shared" si="4"/>
        <v>177</v>
      </c>
      <c r="W29" s="138">
        <f t="shared" si="5"/>
        <v>0.28557213930348258</v>
      </c>
      <c r="X29" s="138">
        <f t="shared" si="6"/>
        <v>0.46666666666666667</v>
      </c>
      <c r="Y29" s="138">
        <f t="shared" si="7"/>
        <v>0.10447761194029848</v>
      </c>
    </row>
    <row r="30" spans="2:25" ht="20.100000000000001" customHeight="1" x14ac:dyDescent="0.2">
      <c r="B30" s="32" t="b">
        <f t="shared" si="8"/>
        <v>1</v>
      </c>
      <c r="C30" s="30" t="s">
        <v>55</v>
      </c>
      <c r="D30" s="30">
        <v>770</v>
      </c>
      <c r="E30" s="30">
        <v>840</v>
      </c>
      <c r="F30" s="30" t="s">
        <v>79</v>
      </c>
      <c r="G30" s="33">
        <v>4.9000000000000004</v>
      </c>
      <c r="H30" s="33">
        <v>9.8000000000000007</v>
      </c>
      <c r="I30" s="30">
        <f>VLOOKUP(C30,calc_step_2!$A:$D,3,FALSE)</f>
        <v>1</v>
      </c>
      <c r="J30" s="30">
        <f>VLOOKUP(C30,calc_step_2!$A:$D,4,FALSE)</f>
        <v>644</v>
      </c>
      <c r="K30" s="30">
        <f>VLOOKUP(C30,calc_step_2!$A:$E,5,FALSE)</f>
        <v>467</v>
      </c>
      <c r="L30" s="30" t="s">
        <v>22</v>
      </c>
      <c r="M30" s="30" t="s">
        <v>41</v>
      </c>
      <c r="N30" s="30" t="s">
        <v>255</v>
      </c>
      <c r="O30" s="30" t="s">
        <v>179</v>
      </c>
      <c r="P30" s="32"/>
      <c r="Q30" s="34">
        <v>20</v>
      </c>
      <c r="R30" s="20">
        <f t="shared" si="0"/>
        <v>20</v>
      </c>
      <c r="S30" s="17" t="str">
        <f t="shared" si="1"/>
        <v>770–840</v>
      </c>
      <c r="T30" s="35" t="str">
        <f t="shared" si="2"/>
        <v>4,9–9,8</v>
      </c>
      <c r="U30" s="21">
        <f t="shared" si="3"/>
        <v>138</v>
      </c>
      <c r="V30" s="21">
        <f t="shared" si="4"/>
        <v>177</v>
      </c>
      <c r="W30" s="22">
        <f t="shared" si="5"/>
        <v>0.28554421768707483</v>
      </c>
      <c r="X30" s="22">
        <f t="shared" si="6"/>
        <v>0.18333333333333324</v>
      </c>
      <c r="Y30" s="22">
        <f t="shared" si="7"/>
        <v>0.38775510204081642</v>
      </c>
    </row>
    <row r="31" spans="2:25" ht="20.100000000000001" customHeight="1" x14ac:dyDescent="0.2">
      <c r="B31" s="32" t="b">
        <f t="shared" si="8"/>
        <v>0</v>
      </c>
      <c r="C31" s="30" t="s">
        <v>55</v>
      </c>
      <c r="D31" s="30">
        <v>770</v>
      </c>
      <c r="E31" s="30">
        <v>840</v>
      </c>
      <c r="F31" s="30" t="s">
        <v>80</v>
      </c>
      <c r="G31" s="33">
        <v>8</v>
      </c>
      <c r="H31" s="33">
        <v>15.5</v>
      </c>
      <c r="I31" s="30">
        <f>VLOOKUP(C31,calc_step_2!$A:$D,3,FALSE)</f>
        <v>1</v>
      </c>
      <c r="J31" s="30">
        <f>VLOOKUP(C31,calc_step_2!$A:$D,4,FALSE)</f>
        <v>644</v>
      </c>
      <c r="K31" s="30">
        <f>VLOOKUP(C31,calc_step_2!$A:$E,5,FALSE)</f>
        <v>467</v>
      </c>
      <c r="L31" s="30" t="s">
        <v>23</v>
      </c>
      <c r="M31" s="30" t="s">
        <v>42</v>
      </c>
      <c r="N31" s="30" t="s">
        <v>256</v>
      </c>
      <c r="O31" s="30" t="s">
        <v>180</v>
      </c>
      <c r="P31" s="32"/>
      <c r="Q31" s="34">
        <v>21</v>
      </c>
      <c r="R31" s="20" t="str">
        <f t="shared" si="0"/>
        <v/>
      </c>
      <c r="S31" s="17" t="str">
        <f t="shared" si="1"/>
        <v/>
      </c>
      <c r="T31" s="35" t="str">
        <f t="shared" si="2"/>
        <v/>
      </c>
      <c r="U31" s="21" t="str">
        <f t="shared" si="3"/>
        <v/>
      </c>
      <c r="V31" s="21" t="str">
        <f t="shared" si="4"/>
        <v/>
      </c>
      <c r="W31" s="22" t="str">
        <f t="shared" si="5"/>
        <v/>
      </c>
      <c r="X31" s="22" t="str">
        <f t="shared" si="6"/>
        <v/>
      </c>
      <c r="Y31" s="22" t="str">
        <f t="shared" si="7"/>
        <v/>
      </c>
    </row>
    <row r="32" spans="2:25" ht="20.100000000000001" customHeight="1" x14ac:dyDescent="0.2">
      <c r="B32" s="121" t="b">
        <f>AND($D$4&gt;=$D32,$D$4&lt;=$E32,$D$5&lt;=$H32,$D$5&gt;=$G32)</f>
        <v>0</v>
      </c>
      <c r="C32" s="122" t="s">
        <v>55</v>
      </c>
      <c r="D32" s="122">
        <v>770</v>
      </c>
      <c r="E32" s="122">
        <v>840</v>
      </c>
      <c r="F32" s="122" t="s">
        <v>308</v>
      </c>
      <c r="G32" s="123">
        <v>12.5</v>
      </c>
      <c r="H32" s="123">
        <v>20.9</v>
      </c>
      <c r="I32" s="122">
        <f>VLOOKUP(C32,calc_step_2!$A:$D,3,FALSE)</f>
        <v>1</v>
      </c>
      <c r="J32" s="122">
        <f>VLOOKUP(C32,calc_step_2!$A:$D,4,FALSE)</f>
        <v>644</v>
      </c>
      <c r="K32" s="122">
        <f>VLOOKUP(C32,calc_step_2!$A:$E,5,FALSE)</f>
        <v>467</v>
      </c>
      <c r="L32" s="122" t="s">
        <v>309</v>
      </c>
      <c r="M32" s="122" t="s">
        <v>42</v>
      </c>
      <c r="N32" s="122" t="s">
        <v>264</v>
      </c>
      <c r="O32" s="30" t="s">
        <v>198</v>
      </c>
      <c r="P32" s="121"/>
      <c r="Q32" s="124">
        <v>22</v>
      </c>
      <c r="R32" s="125" t="str">
        <f t="shared" si="0"/>
        <v/>
      </c>
      <c r="S32" s="126" t="str">
        <f t="shared" si="1"/>
        <v/>
      </c>
      <c r="T32" s="127" t="str">
        <f t="shared" si="2"/>
        <v/>
      </c>
      <c r="U32" s="128" t="str">
        <f t="shared" si="3"/>
        <v/>
      </c>
      <c r="V32" s="128" t="str">
        <f t="shared" si="4"/>
        <v/>
      </c>
      <c r="W32" s="129" t="str">
        <f t="shared" si="5"/>
        <v/>
      </c>
      <c r="X32" s="129" t="str">
        <f t="shared" si="6"/>
        <v/>
      </c>
      <c r="Y32" s="129" t="str">
        <f t="shared" si="7"/>
        <v/>
      </c>
    </row>
    <row r="33" spans="2:25" ht="20.100000000000001" customHeight="1" x14ac:dyDescent="0.2">
      <c r="B33" s="130" t="b">
        <f t="shared" si="8"/>
        <v>0</v>
      </c>
      <c r="C33" s="131" t="s">
        <v>56</v>
      </c>
      <c r="D33" s="131">
        <v>840</v>
      </c>
      <c r="E33" s="131">
        <v>910</v>
      </c>
      <c r="F33" s="131" t="s">
        <v>81</v>
      </c>
      <c r="G33" s="132">
        <v>4.5</v>
      </c>
      <c r="H33" s="132">
        <v>9</v>
      </c>
      <c r="I33" s="131">
        <f>VLOOKUP(C33,calc_step_2!$A:$D,3,FALSE)</f>
        <v>1.2</v>
      </c>
      <c r="J33" s="131">
        <f>VLOOKUP(C33,calc_step_2!$A:$D,4,FALSE)</f>
        <v>882</v>
      </c>
      <c r="K33" s="131">
        <f>VLOOKUP(C33,calc_step_2!$A:$E,5,FALSE)</f>
        <v>501</v>
      </c>
      <c r="L33" s="131" t="s">
        <v>24</v>
      </c>
      <c r="M33" s="131" t="s">
        <v>43</v>
      </c>
      <c r="N33" s="131" t="s">
        <v>257</v>
      </c>
      <c r="O33" s="131" t="s">
        <v>181</v>
      </c>
      <c r="P33" s="130"/>
      <c r="Q33" s="133">
        <v>23</v>
      </c>
      <c r="R33" s="134" t="str">
        <f t="shared" si="0"/>
        <v/>
      </c>
      <c r="S33" s="135" t="str">
        <f t="shared" si="1"/>
        <v/>
      </c>
      <c r="T33" s="136" t="str">
        <f t="shared" si="2"/>
        <v/>
      </c>
      <c r="U33" s="137" t="str">
        <f t="shared" si="3"/>
        <v/>
      </c>
      <c r="V33" s="137" t="str">
        <f t="shared" si="4"/>
        <v/>
      </c>
      <c r="W33" s="138" t="str">
        <f t="shared" si="5"/>
        <v/>
      </c>
      <c r="X33" s="138" t="str">
        <f t="shared" si="6"/>
        <v/>
      </c>
      <c r="Y33" s="138" t="str">
        <f t="shared" si="7"/>
        <v/>
      </c>
    </row>
    <row r="34" spans="2:25" ht="20.100000000000001" customHeight="1" x14ac:dyDescent="0.2">
      <c r="B34" s="32" t="b">
        <f>AND($D$4&gt;=$D34,$D$4&lt;=$E34,$D$5&lt;=$H34,$D$5&gt;=$G34)</f>
        <v>0</v>
      </c>
      <c r="C34" s="30" t="s">
        <v>56</v>
      </c>
      <c r="D34" s="30">
        <v>840</v>
      </c>
      <c r="E34" s="30">
        <v>910</v>
      </c>
      <c r="F34" s="30" t="s">
        <v>82</v>
      </c>
      <c r="G34" s="33">
        <v>7.3</v>
      </c>
      <c r="H34" s="33">
        <v>14.6</v>
      </c>
      <c r="I34" s="30">
        <f>VLOOKUP(C34,calc_step_2!$A:$D,3,FALSE)</f>
        <v>1.2</v>
      </c>
      <c r="J34" s="30">
        <f>VLOOKUP(C34,calc_step_2!$A:$D,4,FALSE)</f>
        <v>882</v>
      </c>
      <c r="K34" s="30">
        <f>VLOOKUP(C34,calc_step_2!$A:$E,5,FALSE)</f>
        <v>501</v>
      </c>
      <c r="L34" s="30" t="s">
        <v>25</v>
      </c>
      <c r="M34" s="30" t="s">
        <v>44</v>
      </c>
      <c r="N34" s="30" t="s">
        <v>258</v>
      </c>
      <c r="O34" s="30" t="s">
        <v>182</v>
      </c>
      <c r="P34" s="32"/>
      <c r="Q34" s="34">
        <v>24</v>
      </c>
      <c r="R34" s="20" t="str">
        <f t="shared" si="0"/>
        <v/>
      </c>
      <c r="S34" s="17" t="str">
        <f t="shared" si="1"/>
        <v/>
      </c>
      <c r="T34" s="35" t="str">
        <f t="shared" si="2"/>
        <v/>
      </c>
      <c r="U34" s="21" t="str">
        <f t="shared" si="3"/>
        <v/>
      </c>
      <c r="V34" s="21" t="str">
        <f t="shared" si="4"/>
        <v/>
      </c>
      <c r="W34" s="22" t="str">
        <f t="shared" si="5"/>
        <v/>
      </c>
      <c r="X34" s="22" t="str">
        <f t="shared" si="6"/>
        <v/>
      </c>
      <c r="Y34" s="22" t="str">
        <f t="shared" si="7"/>
        <v/>
      </c>
    </row>
    <row r="35" spans="2:25" ht="20.100000000000001" customHeight="1" x14ac:dyDescent="0.2">
      <c r="B35" s="121" t="b">
        <f>AND($D$4&gt;=$D35,$D$4&lt;=$E35,$D$5&lt;=$H35,$D$5&gt;=$G35)</f>
        <v>0</v>
      </c>
      <c r="C35" s="122" t="s">
        <v>56</v>
      </c>
      <c r="D35" s="122">
        <v>840</v>
      </c>
      <c r="E35" s="122">
        <v>910</v>
      </c>
      <c r="F35" s="122" t="s">
        <v>200</v>
      </c>
      <c r="G35" s="123">
        <v>10</v>
      </c>
      <c r="H35" s="123">
        <v>20</v>
      </c>
      <c r="I35" s="122">
        <f>VLOOKUP(C35,calc_step_2!$A:$D,3,FALSE)</f>
        <v>1.2</v>
      </c>
      <c r="J35" s="122">
        <f>VLOOKUP(C35,calc_step_2!$A:$D,4,FALSE)</f>
        <v>882</v>
      </c>
      <c r="K35" s="122">
        <f>VLOOKUP(C35,calc_step_2!$A:$E,5,FALSE)</f>
        <v>501</v>
      </c>
      <c r="L35" s="122" t="s">
        <v>202</v>
      </c>
      <c r="M35" s="122" t="s">
        <v>203</v>
      </c>
      <c r="N35" s="122" t="s">
        <v>265</v>
      </c>
      <c r="O35" s="122" t="s">
        <v>199</v>
      </c>
      <c r="P35" s="121"/>
      <c r="Q35" s="124">
        <v>25</v>
      </c>
      <c r="R35" s="125" t="str">
        <f t="shared" si="0"/>
        <v/>
      </c>
      <c r="S35" s="126" t="str">
        <f t="shared" si="1"/>
        <v/>
      </c>
      <c r="T35" s="127" t="str">
        <f t="shared" si="2"/>
        <v/>
      </c>
      <c r="U35" s="128" t="str">
        <f t="shared" si="3"/>
        <v/>
      </c>
      <c r="V35" s="128" t="str">
        <f t="shared" si="4"/>
        <v/>
      </c>
      <c r="W35" s="129" t="str">
        <f t="shared" si="5"/>
        <v/>
      </c>
      <c r="X35" s="129" t="str">
        <f t="shared" si="6"/>
        <v/>
      </c>
      <c r="Y35" s="129" t="str">
        <f t="shared" si="7"/>
        <v/>
      </c>
    </row>
    <row r="36" spans="2:25" ht="20.100000000000001" customHeight="1" x14ac:dyDescent="0.2">
      <c r="B36" s="130" t="b">
        <f t="shared" si="8"/>
        <v>0</v>
      </c>
      <c r="C36" s="131" t="s">
        <v>57</v>
      </c>
      <c r="D36" s="131">
        <v>910</v>
      </c>
      <c r="E36" s="131">
        <v>970</v>
      </c>
      <c r="F36" s="131" t="s">
        <v>83</v>
      </c>
      <c r="G36" s="132">
        <v>4.2</v>
      </c>
      <c r="H36" s="132">
        <v>8</v>
      </c>
      <c r="I36" s="131">
        <f>VLOOKUP(C36,calc_step_2!$A:$D,3,FALSE)</f>
        <v>1.1000000000000001</v>
      </c>
      <c r="J36" s="131">
        <f>VLOOKUP(C36,calc_step_2!$A:$D,4,FALSE)</f>
        <v>865</v>
      </c>
      <c r="K36" s="131">
        <f>VLOOKUP(C36,calc_step_2!$A:$E,5,FALSE)</f>
        <v>533</v>
      </c>
      <c r="L36" s="131" t="s">
        <v>26</v>
      </c>
      <c r="M36" s="131" t="s">
        <v>45</v>
      </c>
      <c r="N36" s="131" t="s">
        <v>259</v>
      </c>
      <c r="O36" s="131" t="s">
        <v>183</v>
      </c>
      <c r="P36" s="130"/>
      <c r="Q36" s="133">
        <v>26</v>
      </c>
      <c r="R36" s="134" t="str">
        <f t="shared" si="0"/>
        <v/>
      </c>
      <c r="S36" s="135" t="str">
        <f t="shared" si="1"/>
        <v/>
      </c>
      <c r="T36" s="136" t="str">
        <f t="shared" si="2"/>
        <v/>
      </c>
      <c r="U36" s="137" t="str">
        <f t="shared" si="3"/>
        <v/>
      </c>
      <c r="V36" s="137" t="str">
        <f t="shared" si="4"/>
        <v/>
      </c>
      <c r="W36" s="138" t="str">
        <f t="shared" si="5"/>
        <v/>
      </c>
      <c r="X36" s="138" t="str">
        <f t="shared" si="6"/>
        <v/>
      </c>
      <c r="Y36" s="138" t="str">
        <f t="shared" si="7"/>
        <v/>
      </c>
    </row>
    <row r="37" spans="2:25" ht="20.100000000000001" customHeight="1" x14ac:dyDescent="0.2">
      <c r="B37" s="32" t="b">
        <f t="shared" si="8"/>
        <v>0</v>
      </c>
      <c r="C37" s="30" t="s">
        <v>57</v>
      </c>
      <c r="D37" s="30">
        <v>910</v>
      </c>
      <c r="E37" s="30">
        <v>970</v>
      </c>
      <c r="F37" s="30" t="s">
        <v>145</v>
      </c>
      <c r="G37" s="33">
        <v>6.8</v>
      </c>
      <c r="H37" s="33">
        <v>13.5</v>
      </c>
      <c r="I37" s="30">
        <f>VLOOKUP(C37,calc_step_2!$A:$D,3,FALSE)</f>
        <v>1.1000000000000001</v>
      </c>
      <c r="J37" s="30">
        <f>VLOOKUP(C37,calc_step_2!$A:$D,4,FALSE)</f>
        <v>865</v>
      </c>
      <c r="K37" s="30">
        <f>VLOOKUP(C37,calc_step_2!$A:$E,5,FALSE)</f>
        <v>533</v>
      </c>
      <c r="L37" s="30" t="s">
        <v>27</v>
      </c>
      <c r="M37" s="30" t="s">
        <v>46</v>
      </c>
      <c r="N37" s="30" t="s">
        <v>260</v>
      </c>
      <c r="O37" s="30" t="s">
        <v>184</v>
      </c>
      <c r="P37" s="32"/>
      <c r="Q37" s="34">
        <v>27</v>
      </c>
      <c r="R37" s="20" t="str">
        <f t="shared" si="0"/>
        <v/>
      </c>
      <c r="S37" s="17" t="str">
        <f t="shared" si="1"/>
        <v/>
      </c>
      <c r="T37" s="35" t="str">
        <f t="shared" si="2"/>
        <v/>
      </c>
      <c r="U37" s="21" t="str">
        <f t="shared" si="3"/>
        <v/>
      </c>
      <c r="V37" s="21" t="str">
        <f t="shared" si="4"/>
        <v/>
      </c>
      <c r="W37" s="22" t="str">
        <f t="shared" si="5"/>
        <v/>
      </c>
      <c r="X37" s="22" t="str">
        <f t="shared" si="6"/>
        <v/>
      </c>
      <c r="Y37" s="22" t="str">
        <f t="shared" si="7"/>
        <v/>
      </c>
    </row>
    <row r="38" spans="2:25" ht="20.100000000000001" customHeight="1" x14ac:dyDescent="0.2">
      <c r="B38" s="121" t="b">
        <f t="shared" si="8"/>
        <v>0</v>
      </c>
      <c r="C38" s="122" t="s">
        <v>57</v>
      </c>
      <c r="D38" s="122">
        <v>910</v>
      </c>
      <c r="E38" s="122">
        <v>970</v>
      </c>
      <c r="F38" s="122" t="s">
        <v>201</v>
      </c>
      <c r="G38" s="123">
        <v>9.5</v>
      </c>
      <c r="H38" s="123">
        <v>17.899999999999999</v>
      </c>
      <c r="I38" s="122">
        <f>VLOOKUP(C38,calc_step_2!$A:$D,3,FALSE)</f>
        <v>1.1000000000000001</v>
      </c>
      <c r="J38" s="122">
        <f>VLOOKUP(C38,calc_step_2!$A:$D,4,FALSE)</f>
        <v>865</v>
      </c>
      <c r="K38" s="122">
        <f>VLOOKUP(C38,calc_step_2!$A:$E,5,FALSE)</f>
        <v>533</v>
      </c>
      <c r="L38" s="122" t="s">
        <v>204</v>
      </c>
      <c r="M38" s="122" t="s">
        <v>205</v>
      </c>
      <c r="N38" s="122" t="s">
        <v>266</v>
      </c>
      <c r="O38" s="122" t="s">
        <v>206</v>
      </c>
      <c r="P38" s="121"/>
      <c r="Q38" s="124">
        <v>28</v>
      </c>
      <c r="R38" s="125" t="str">
        <f t="shared" si="0"/>
        <v/>
      </c>
      <c r="S38" s="126" t="str">
        <f t="shared" si="1"/>
        <v/>
      </c>
      <c r="T38" s="127" t="str">
        <f t="shared" si="2"/>
        <v/>
      </c>
      <c r="U38" s="128" t="str">
        <f t="shared" si="3"/>
        <v/>
      </c>
      <c r="V38" s="128" t="str">
        <f t="shared" si="4"/>
        <v/>
      </c>
      <c r="W38" s="129" t="str">
        <f t="shared" si="5"/>
        <v/>
      </c>
      <c r="X38" s="129" t="str">
        <f t="shared" si="6"/>
        <v/>
      </c>
      <c r="Y38" s="129" t="str">
        <f t="shared" si="7"/>
        <v/>
      </c>
    </row>
    <row r="39" spans="2:25" ht="20.100000000000001" customHeight="1" x14ac:dyDescent="0.2">
      <c r="B39" s="130" t="b">
        <f t="shared" si="8"/>
        <v>0</v>
      </c>
      <c r="C39" s="131" t="s">
        <v>58</v>
      </c>
      <c r="D39" s="131">
        <v>960</v>
      </c>
      <c r="E39" s="131">
        <v>1010</v>
      </c>
      <c r="F39" s="131" t="s">
        <v>84</v>
      </c>
      <c r="G39" s="132">
        <v>3.9</v>
      </c>
      <c r="H39" s="132">
        <v>7.6</v>
      </c>
      <c r="I39" s="131">
        <f>VLOOKUP(C39,calc_step_2!$A:$D,3,FALSE)</f>
        <v>1.1000000000000001</v>
      </c>
      <c r="J39" s="131">
        <f>VLOOKUP(C39,calc_step_2!$A:$D,4,FALSE)</f>
        <v>915</v>
      </c>
      <c r="K39" s="131">
        <f>VLOOKUP(C39,calc_step_2!$A:$E,5,FALSE)</f>
        <v>557</v>
      </c>
      <c r="L39" s="131" t="s">
        <v>28</v>
      </c>
      <c r="M39" s="131" t="s">
        <v>47</v>
      </c>
      <c r="N39" s="131" t="s">
        <v>261</v>
      </c>
      <c r="O39" s="131" t="s">
        <v>185</v>
      </c>
      <c r="P39" s="130"/>
      <c r="Q39" s="133">
        <v>29</v>
      </c>
      <c r="R39" s="134" t="str">
        <f t="shared" si="0"/>
        <v/>
      </c>
      <c r="S39" s="135" t="str">
        <f t="shared" si="1"/>
        <v/>
      </c>
      <c r="T39" s="136" t="str">
        <f t="shared" si="2"/>
        <v/>
      </c>
      <c r="U39" s="137" t="str">
        <f t="shared" si="3"/>
        <v/>
      </c>
      <c r="V39" s="137" t="str">
        <f t="shared" si="4"/>
        <v/>
      </c>
      <c r="W39" s="138" t="str">
        <f t="shared" si="5"/>
        <v/>
      </c>
      <c r="X39" s="138" t="str">
        <f t="shared" si="6"/>
        <v/>
      </c>
      <c r="Y39" s="138" t="str">
        <f t="shared" si="7"/>
        <v/>
      </c>
    </row>
    <row r="40" spans="2:25" ht="20.100000000000001" customHeight="1" x14ac:dyDescent="0.2">
      <c r="B40" s="32" t="b">
        <f t="shared" si="8"/>
        <v>0</v>
      </c>
      <c r="C40" s="30" t="s">
        <v>58</v>
      </c>
      <c r="D40" s="30">
        <v>960</v>
      </c>
      <c r="E40" s="30">
        <v>1010</v>
      </c>
      <c r="F40" s="30" t="s">
        <v>85</v>
      </c>
      <c r="G40" s="33">
        <v>6.5</v>
      </c>
      <c r="H40" s="33">
        <v>12.8</v>
      </c>
      <c r="I40" s="30">
        <f>VLOOKUP(C40,calc_step_2!$A:$D,3,FALSE)</f>
        <v>1.1000000000000001</v>
      </c>
      <c r="J40" s="30">
        <f>VLOOKUP(C40,calc_step_2!$A:$D,4,FALSE)</f>
        <v>915</v>
      </c>
      <c r="K40" s="30">
        <f>VLOOKUP(C40,calc_step_2!$A:$E,5,FALSE)</f>
        <v>557</v>
      </c>
      <c r="L40" s="30" t="s">
        <v>29</v>
      </c>
      <c r="M40" s="30" t="s">
        <v>48</v>
      </c>
      <c r="N40" s="30" t="s">
        <v>262</v>
      </c>
      <c r="O40" s="30" t="s">
        <v>186</v>
      </c>
      <c r="P40" s="32"/>
      <c r="Q40" s="34">
        <v>30</v>
      </c>
      <c r="R40" s="20" t="str">
        <f t="shared" si="0"/>
        <v/>
      </c>
      <c r="S40" s="17" t="str">
        <f t="shared" si="1"/>
        <v/>
      </c>
      <c r="T40" s="35" t="str">
        <f t="shared" si="2"/>
        <v/>
      </c>
      <c r="U40" s="21" t="str">
        <f t="shared" si="3"/>
        <v/>
      </c>
      <c r="V40" s="21" t="str">
        <f t="shared" si="4"/>
        <v/>
      </c>
      <c r="W40" s="22" t="str">
        <f t="shared" si="5"/>
        <v/>
      </c>
      <c r="X40" s="22" t="str">
        <f t="shared" si="6"/>
        <v/>
      </c>
      <c r="Y40" s="22" t="str">
        <f t="shared" si="7"/>
        <v/>
      </c>
    </row>
    <row r="41" spans="2:25" ht="20.100000000000001" customHeight="1" x14ac:dyDescent="0.2">
      <c r="B41" s="121" t="b">
        <f t="shared" si="8"/>
        <v>0</v>
      </c>
      <c r="C41" s="122" t="s">
        <v>58</v>
      </c>
      <c r="D41" s="122">
        <v>960</v>
      </c>
      <c r="E41" s="122">
        <v>1010</v>
      </c>
      <c r="F41" s="122" t="s">
        <v>209</v>
      </c>
      <c r="G41" s="123">
        <v>8.6</v>
      </c>
      <c r="H41" s="123">
        <v>17.3</v>
      </c>
      <c r="I41" s="122">
        <f>VLOOKUP(C41,calc_step_2!$A:$D,3,FALSE)</f>
        <v>1.1000000000000001</v>
      </c>
      <c r="J41" s="122">
        <f>VLOOKUP(C41,calc_step_2!$A:$D,4,FALSE)</f>
        <v>915</v>
      </c>
      <c r="K41" s="122">
        <f>VLOOKUP(C41,calc_step_2!$A:$E,5,FALSE)</f>
        <v>557</v>
      </c>
      <c r="L41" s="122" t="s">
        <v>208</v>
      </c>
      <c r="M41" s="122" t="s">
        <v>318</v>
      </c>
      <c r="N41" s="122" t="s">
        <v>267</v>
      </c>
      <c r="O41" s="122" t="s">
        <v>207</v>
      </c>
      <c r="P41" s="121"/>
      <c r="Q41" s="124">
        <v>31</v>
      </c>
      <c r="R41" s="125" t="str">
        <f t="shared" si="0"/>
        <v/>
      </c>
      <c r="S41" s="126" t="str">
        <f t="shared" si="1"/>
        <v/>
      </c>
      <c r="T41" s="127" t="str">
        <f t="shared" si="2"/>
        <v/>
      </c>
      <c r="U41" s="128" t="str">
        <f t="shared" si="3"/>
        <v/>
      </c>
      <c r="V41" s="128" t="str">
        <f t="shared" si="4"/>
        <v/>
      </c>
      <c r="W41" s="129" t="str">
        <f t="shared" si="5"/>
        <v/>
      </c>
      <c r="X41" s="129" t="str">
        <f t="shared" si="6"/>
        <v/>
      </c>
      <c r="Y41" s="129" t="str">
        <f t="shared" si="7"/>
        <v/>
      </c>
    </row>
    <row r="42" spans="2:25" ht="20.100000000000001" customHeight="1" x14ac:dyDescent="0.2">
      <c r="B42" s="32" t="b">
        <f>AND($D$4&gt;=$D42,$D$4&lt;=$E42,$D$5&lt;=$H42,$D$5&gt;=$G42)</f>
        <v>0</v>
      </c>
      <c r="C42" s="30" t="s">
        <v>59</v>
      </c>
      <c r="D42" s="30">
        <v>1000</v>
      </c>
      <c r="E42" s="30">
        <v>1040</v>
      </c>
      <c r="F42" s="30" t="s">
        <v>303</v>
      </c>
      <c r="G42" s="33">
        <v>3.7</v>
      </c>
      <c r="H42" s="33">
        <v>7.3</v>
      </c>
      <c r="I42" s="30">
        <f>VLOOKUP(C42,calc_step_2!$A:$D,3,FALSE)</f>
        <v>1.1000000000000001</v>
      </c>
      <c r="J42" s="30">
        <f>VLOOKUP(C42,calc_step_2!$A:$D,4,FALSE)</f>
        <v>954</v>
      </c>
      <c r="K42" s="30">
        <f>VLOOKUP(C42,calc_step_2!$A:$E,5,FALSE)</f>
        <v>576</v>
      </c>
      <c r="L42" s="30" t="s">
        <v>304</v>
      </c>
      <c r="M42" s="30" t="s">
        <v>305</v>
      </c>
      <c r="N42" s="30" t="s">
        <v>306</v>
      </c>
      <c r="O42" s="30" t="s">
        <v>307</v>
      </c>
      <c r="P42" s="32"/>
      <c r="Q42" s="34">
        <v>32</v>
      </c>
      <c r="R42" s="20" t="str">
        <f t="shared" si="0"/>
        <v/>
      </c>
      <c r="S42" s="17" t="str">
        <f t="shared" si="1"/>
        <v/>
      </c>
      <c r="T42" s="35" t="str">
        <f t="shared" si="2"/>
        <v/>
      </c>
      <c r="U42" s="21" t="str">
        <f t="shared" si="3"/>
        <v/>
      </c>
      <c r="V42" s="21" t="str">
        <f t="shared" si="4"/>
        <v/>
      </c>
      <c r="W42" s="22" t="str">
        <f t="shared" si="5"/>
        <v/>
      </c>
      <c r="X42" s="22" t="str">
        <f t="shared" si="6"/>
        <v/>
      </c>
      <c r="Y42" s="22" t="str">
        <f t="shared" si="7"/>
        <v/>
      </c>
    </row>
    <row r="43" spans="2:25" ht="20.100000000000001" customHeight="1" x14ac:dyDescent="0.2">
      <c r="B43" s="32" t="b">
        <f t="shared" si="8"/>
        <v>0</v>
      </c>
      <c r="C43" s="30" t="s">
        <v>59</v>
      </c>
      <c r="D43" s="30">
        <v>1000</v>
      </c>
      <c r="E43" s="30">
        <v>1040</v>
      </c>
      <c r="F43" s="30" t="s">
        <v>86</v>
      </c>
      <c r="G43" s="33">
        <v>6.2</v>
      </c>
      <c r="H43" s="33">
        <v>12.3</v>
      </c>
      <c r="I43" s="30">
        <f>VLOOKUP(C43,calc_step_2!$A:$D,3,FALSE)</f>
        <v>1.1000000000000001</v>
      </c>
      <c r="J43" s="30">
        <f>VLOOKUP(C43,calc_step_2!$A:$D,4,FALSE)</f>
        <v>954</v>
      </c>
      <c r="K43" s="30">
        <f>VLOOKUP(C43,calc_step_2!$A:$E,5,FALSE)</f>
        <v>576</v>
      </c>
      <c r="L43" s="30" t="s">
        <v>30</v>
      </c>
      <c r="M43" s="30" t="s">
        <v>49</v>
      </c>
      <c r="N43" s="30" t="s">
        <v>263</v>
      </c>
      <c r="O43" s="30" t="s">
        <v>187</v>
      </c>
      <c r="P43" s="32"/>
      <c r="Q43" s="34">
        <v>33</v>
      </c>
      <c r="R43" s="20" t="str">
        <f t="shared" si="0"/>
        <v/>
      </c>
      <c r="S43" s="17" t="str">
        <f t="shared" si="1"/>
        <v/>
      </c>
      <c r="T43" s="35" t="str">
        <f t="shared" si="2"/>
        <v/>
      </c>
      <c r="U43" s="21" t="str">
        <f t="shared" si="3"/>
        <v/>
      </c>
      <c r="V43" s="21" t="str">
        <f t="shared" si="4"/>
        <v/>
      </c>
      <c r="W43" s="22" t="str">
        <f t="shared" si="5"/>
        <v/>
      </c>
      <c r="X43" s="22" t="str">
        <f t="shared" si="6"/>
        <v/>
      </c>
      <c r="Y43" s="22" t="str">
        <f t="shared" si="7"/>
        <v/>
      </c>
    </row>
    <row r="44" spans="2:25" ht="20.100000000000001" customHeight="1" x14ac:dyDescent="0.2">
      <c r="B44" s="32" t="b">
        <f t="shared" si="8"/>
        <v>0</v>
      </c>
      <c r="C44" s="30" t="s">
        <v>59</v>
      </c>
      <c r="D44" s="30">
        <v>1000</v>
      </c>
      <c r="E44" s="30">
        <v>1040</v>
      </c>
      <c r="F44" s="30" t="s">
        <v>193</v>
      </c>
      <c r="G44" s="33">
        <v>8.1</v>
      </c>
      <c r="H44" s="33">
        <v>16</v>
      </c>
      <c r="I44" s="30">
        <f>VLOOKUP(C44,calc_step_2!$A:$D,3,FALSE)</f>
        <v>1.1000000000000001</v>
      </c>
      <c r="J44" s="30">
        <f>VLOOKUP(C44,calc_step_2!$A:$D,4,FALSE)</f>
        <v>954</v>
      </c>
      <c r="K44" s="30">
        <f>VLOOKUP(C44,calc_step_2!$A:$E,5,FALSE)</f>
        <v>576</v>
      </c>
      <c r="L44" s="30" t="s">
        <v>194</v>
      </c>
      <c r="M44" s="30" t="s">
        <v>195</v>
      </c>
      <c r="N44" s="30" t="s">
        <v>196</v>
      </c>
      <c r="O44" s="30" t="s">
        <v>197</v>
      </c>
      <c r="P44" s="32"/>
      <c r="Q44" s="34">
        <v>34</v>
      </c>
      <c r="R44" s="20" t="str">
        <f t="shared" si="0"/>
        <v/>
      </c>
      <c r="S44" s="17" t="str">
        <f t="shared" si="1"/>
        <v/>
      </c>
      <c r="T44" s="35" t="str">
        <f t="shared" si="2"/>
        <v/>
      </c>
      <c r="U44" s="21" t="str">
        <f t="shared" si="3"/>
        <v/>
      </c>
      <c r="V44" s="21" t="str">
        <f t="shared" si="4"/>
        <v/>
      </c>
      <c r="W44" s="22" t="str">
        <f t="shared" si="5"/>
        <v/>
      </c>
      <c r="X44" s="22" t="str">
        <f t="shared" si="6"/>
        <v/>
      </c>
      <c r="Y44" s="22" t="str">
        <f t="shared" si="7"/>
        <v/>
      </c>
    </row>
  </sheetData>
  <sheetProtection password="D116" sheet="1" objects="1" scenarios="1"/>
  <conditionalFormatting sqref="B35:B36 B38:B39 B41:B43 B11:B21 B23:B33">
    <cfRule type="containsText" dxfId="42" priority="7" stopIfTrue="1" operator="containsText" text="ИСТИНА">
      <formula>NOT(ISERROR(SEARCH("ИСТИНА",B11)))</formula>
    </cfRule>
  </conditionalFormatting>
  <conditionalFormatting sqref="B44">
    <cfRule type="containsText" dxfId="41" priority="6" stopIfTrue="1" operator="containsText" text="ИСТИНА">
      <formula>NOT(ISERROR(SEARCH("ИСТИНА",B44)))</formula>
    </cfRule>
  </conditionalFormatting>
  <conditionalFormatting sqref="B34">
    <cfRule type="containsText" dxfId="40" priority="5" stopIfTrue="1" operator="containsText" text="ИСТИНА">
      <formula>NOT(ISERROR(SEARCH("ИСТИНА",B34)))</formula>
    </cfRule>
  </conditionalFormatting>
  <conditionalFormatting sqref="B37">
    <cfRule type="containsText" dxfId="39" priority="4" stopIfTrue="1" operator="containsText" text="ИСТИНА">
      <formula>NOT(ISERROR(SEARCH("ИСТИНА",B37)))</formula>
    </cfRule>
  </conditionalFormatting>
  <conditionalFormatting sqref="B40">
    <cfRule type="containsText" dxfId="38" priority="3" stopIfTrue="1" operator="containsText" text="ИСТИНА">
      <formula>NOT(ISERROR(SEARCH("ИСТИНА",B40)))</formula>
    </cfRule>
  </conditionalFormatting>
  <conditionalFormatting sqref="B22">
    <cfRule type="containsText" dxfId="37" priority="1" stopIfTrue="1" operator="containsText" text="ИСТИНА">
      <formula>NOT(ISERROR(SEARCH("ИСТИНА",B22)))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6"/>
  <sheetViews>
    <sheetView zoomScale="115" zoomScaleNormal="115" workbookViewId="0">
      <selection activeCell="E13" sqref="E13"/>
    </sheetView>
  </sheetViews>
  <sheetFormatPr defaultRowHeight="17.100000000000001" customHeight="1" x14ac:dyDescent="0.25"/>
  <cols>
    <col min="1" max="1" width="35.5703125" style="1" customWidth="1"/>
    <col min="2" max="2" width="14.140625" style="2" customWidth="1"/>
    <col min="3" max="4" width="10.28515625" style="2" customWidth="1"/>
    <col min="5" max="5" width="35.5703125" style="1" customWidth="1"/>
    <col min="6" max="6" width="14.140625" style="2" customWidth="1"/>
    <col min="7" max="16384" width="9.140625" style="1"/>
  </cols>
  <sheetData>
    <row r="1" spans="1:6" ht="17.100000000000001" customHeight="1" thickBot="1" x14ac:dyDescent="0.3">
      <c r="A1" s="9" t="s">
        <v>156</v>
      </c>
      <c r="B1" s="10" t="s">
        <v>155</v>
      </c>
      <c r="C1" s="6" t="s">
        <v>153</v>
      </c>
      <c r="D1" s="6" t="s">
        <v>152</v>
      </c>
      <c r="E1" s="11" t="s">
        <v>189</v>
      </c>
      <c r="F1" s="12" t="s">
        <v>277</v>
      </c>
    </row>
    <row r="2" spans="1:6" ht="17.100000000000001" customHeight="1" x14ac:dyDescent="0.25">
      <c r="A2" s="7" t="s">
        <v>150</v>
      </c>
      <c r="B2" s="3" t="s">
        <v>151</v>
      </c>
      <c r="C2" s="4">
        <v>620</v>
      </c>
      <c r="D2" s="4">
        <v>750</v>
      </c>
      <c r="E2" s="5" t="str">
        <f>CONCATENATE(A2,", ",B2," кг/м3")</f>
        <v>ДСП, 620–750 кг/м3</v>
      </c>
      <c r="F2" s="8">
        <v>650</v>
      </c>
    </row>
    <row r="3" spans="1:6" ht="17.100000000000001" customHeight="1" x14ac:dyDescent="0.25">
      <c r="A3" s="7" t="s">
        <v>146</v>
      </c>
      <c r="B3" s="3" t="s">
        <v>149</v>
      </c>
      <c r="C3" s="4">
        <v>600</v>
      </c>
      <c r="D3" s="4">
        <v>900</v>
      </c>
      <c r="E3" s="5" t="str">
        <f>CONCATENATE(A3,", ",B3," кг/м3")</f>
        <v>МДФ, 600–900 кг/м3</v>
      </c>
      <c r="F3" s="8">
        <v>770</v>
      </c>
    </row>
    <row r="4" spans="1:6" ht="17.100000000000001" customHeight="1" x14ac:dyDescent="0.25">
      <c r="A4" s="7" t="s">
        <v>147</v>
      </c>
      <c r="B4" s="3">
        <v>2500</v>
      </c>
      <c r="C4" s="4">
        <v>2500</v>
      </c>
      <c r="D4" s="4">
        <v>2500</v>
      </c>
      <c r="E4" s="5" t="str">
        <f>CONCATENATE(A4,", ",B4," кг/м3")</f>
        <v>Скло, 2500 кг/м3</v>
      </c>
      <c r="F4" s="8">
        <v>2500</v>
      </c>
    </row>
    <row r="5" spans="1:6" ht="17.100000000000001" customHeight="1" x14ac:dyDescent="0.25">
      <c r="A5" s="52" t="s">
        <v>233</v>
      </c>
      <c r="B5" s="3"/>
      <c r="C5" s="53"/>
      <c r="D5" s="53"/>
      <c r="E5" s="5" t="str">
        <f>CONCATENATE(A5,", ",B5," кг/м3")</f>
        <v>Фанера (береза),  кг/м3</v>
      </c>
      <c r="F5" s="8">
        <v>750</v>
      </c>
    </row>
    <row r="6" spans="1:6" ht="17.100000000000001" customHeight="1" x14ac:dyDescent="0.25">
      <c r="A6" s="7" t="s">
        <v>234</v>
      </c>
      <c r="B6" s="3" t="s">
        <v>148</v>
      </c>
      <c r="C6" s="4">
        <v>500</v>
      </c>
      <c r="D6" s="4">
        <v>800</v>
      </c>
      <c r="E6" s="5" t="str">
        <f>CONCATENATE(A6,", ",B6," кг/м3")</f>
        <v>Фанера (хвоя), 500–800 кг/м3</v>
      </c>
      <c r="F6" s="8">
        <v>650</v>
      </c>
    </row>
  </sheetData>
  <sheetProtection password="D116" sheet="1" objects="1" scenarios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result</vt:lpstr>
      <vt:lpstr>flap_material</vt:lpstr>
      <vt:lpstr>KH</vt:lpstr>
      <vt:lpstr>result!Область_печати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Василь</dc:creator>
  <cp:lastModifiedBy>magazin6</cp:lastModifiedBy>
  <cp:lastPrinted>2018-11-02T11:35:54Z</cp:lastPrinted>
  <dcterms:created xsi:type="dcterms:W3CDTF">2015-02-08T11:31:40Z</dcterms:created>
  <dcterms:modified xsi:type="dcterms:W3CDTF">2019-06-20T11:01:44Z</dcterms:modified>
</cp:coreProperties>
</file>